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30" yWindow="525" windowWidth="22695" windowHeight="11445"/>
  </bookViews>
  <sheets>
    <sheet name="Summary" sheetId="1" r:id="rId1"/>
    <sheet name="National CEA estimate" sheetId="2" r:id="rId2"/>
    <sheet name="Specific Location Estimates" sheetId="3" r:id="rId3"/>
    <sheet name="Morbidity" sheetId="4" r:id="rId4"/>
    <sheet name="Death Rate Estimates" sheetId="5" r:id="rId5"/>
    <sheet name="New Implementation Costs" sheetId="6" r:id="rId6"/>
    <sheet name="GBD Estimates" sheetId="7" r:id="rId7"/>
    <sheet name="Study results - Gap Reduced" sheetId="8" r:id="rId8"/>
    <sheet name="Notes of factors not taken into" sheetId="9" r:id="rId9"/>
  </sheets>
  <calcPr calcId="145621"/>
</workbook>
</file>

<file path=xl/calcChain.xml><?xml version="1.0" encoding="utf-8"?>
<calcChain xmlns="http://schemas.openxmlformats.org/spreadsheetml/2006/main">
  <c r="J19" i="9" l="1"/>
  <c r="J18" i="9"/>
  <c r="J17" i="9"/>
  <c r="J16" i="9"/>
  <c r="J15" i="9"/>
  <c r="J14" i="9"/>
  <c r="J13" i="9"/>
  <c r="J12" i="9"/>
  <c r="J11" i="9"/>
  <c r="J10" i="9"/>
  <c r="J9" i="9"/>
  <c r="J8" i="9"/>
  <c r="A8" i="9"/>
  <c r="J7" i="9"/>
  <c r="J6" i="9"/>
  <c r="J5" i="9"/>
  <c r="J4" i="9"/>
  <c r="J21" i="9" s="1"/>
  <c r="J3" i="9"/>
  <c r="J2" i="9"/>
  <c r="K20" i="8"/>
  <c r="K19" i="8"/>
  <c r="J19" i="8"/>
  <c r="I19" i="8"/>
  <c r="H19" i="8"/>
  <c r="K18" i="8"/>
  <c r="E4" i="8" s="1"/>
  <c r="V6" i="8"/>
  <c r="X6" i="8" s="1"/>
  <c r="U6" i="8"/>
  <c r="W6" i="8" s="1"/>
  <c r="T6" i="8"/>
  <c r="S6" i="8"/>
  <c r="R6" i="8"/>
  <c r="Q6" i="8"/>
  <c r="B6" i="8"/>
  <c r="V5" i="8"/>
  <c r="X5" i="8" s="1"/>
  <c r="U5" i="8"/>
  <c r="W5" i="8" s="1"/>
  <c r="T5" i="8"/>
  <c r="S5" i="8"/>
  <c r="R5" i="8"/>
  <c r="Q5" i="8"/>
  <c r="K5" i="8"/>
  <c r="H5" i="8"/>
  <c r="B5" i="8"/>
  <c r="V4" i="8"/>
  <c r="T4" i="8"/>
  <c r="S4" i="8"/>
  <c r="R4" i="8"/>
  <c r="G4" i="8"/>
  <c r="U4" i="8" s="1"/>
  <c r="F4" i="8"/>
  <c r="Q4" i="8" s="1"/>
  <c r="B4" i="8"/>
  <c r="W3" i="8"/>
  <c r="W8" i="8" s="1"/>
  <c r="V3" i="8"/>
  <c r="V8" i="8" s="1"/>
  <c r="U3" i="8"/>
  <c r="T3" i="8"/>
  <c r="T8" i="8" s="1"/>
  <c r="S3" i="8"/>
  <c r="S8" i="8" s="1"/>
  <c r="R3" i="8"/>
  <c r="R8" i="8" s="1"/>
  <c r="Q3" i="8"/>
  <c r="B3" i="8"/>
  <c r="C121" i="7"/>
  <c r="C120" i="7"/>
  <c r="O107" i="7"/>
  <c r="E103" i="7"/>
  <c r="D103" i="7"/>
  <c r="C103" i="7"/>
  <c r="E102" i="7"/>
  <c r="D102" i="7"/>
  <c r="C102" i="7"/>
  <c r="T85" i="7"/>
  <c r="S85" i="7"/>
  <c r="R85" i="7"/>
  <c r="Q85" i="7"/>
  <c r="P85" i="7"/>
  <c r="O85" i="7"/>
  <c r="H85" i="7"/>
  <c r="G85" i="7"/>
  <c r="F85" i="7"/>
  <c r="E85" i="7"/>
  <c r="D85" i="7"/>
  <c r="C85" i="7"/>
  <c r="T69" i="7"/>
  <c r="S69" i="7"/>
  <c r="R69" i="7"/>
  <c r="Q69" i="7"/>
  <c r="P69" i="7"/>
  <c r="O69" i="7"/>
  <c r="H69" i="7"/>
  <c r="G69" i="7"/>
  <c r="F69" i="7"/>
  <c r="E69" i="7"/>
  <c r="D69" i="7"/>
  <c r="C69" i="7"/>
  <c r="T53" i="7"/>
  <c r="S53" i="7"/>
  <c r="R53" i="7"/>
  <c r="Q53" i="7"/>
  <c r="P53" i="7"/>
  <c r="O53" i="7"/>
  <c r="H53" i="7"/>
  <c r="G53" i="7"/>
  <c r="F53" i="7"/>
  <c r="E53" i="7"/>
  <c r="D53" i="7"/>
  <c r="C53" i="7"/>
  <c r="T52" i="7"/>
  <c r="S52" i="7"/>
  <c r="R52" i="7"/>
  <c r="Q52" i="7"/>
  <c r="P52" i="7"/>
  <c r="O52" i="7"/>
  <c r="H52" i="7"/>
  <c r="G52" i="7"/>
  <c r="F52" i="7"/>
  <c r="E52" i="7"/>
  <c r="D52" i="7"/>
  <c r="C52" i="7"/>
  <c r="T33" i="7"/>
  <c r="S33" i="7"/>
  <c r="R33" i="7"/>
  <c r="Q33" i="7"/>
  <c r="O33" i="7"/>
  <c r="N33" i="7"/>
  <c r="M33" i="7"/>
  <c r="L33" i="7"/>
  <c r="K33" i="7"/>
  <c r="J33" i="7"/>
  <c r="I33" i="7"/>
  <c r="T32" i="7"/>
  <c r="S32" i="7"/>
  <c r="R32" i="7"/>
  <c r="Q32" i="7"/>
  <c r="O32" i="7"/>
  <c r="N32" i="7"/>
  <c r="M32" i="7"/>
  <c r="L32" i="7"/>
  <c r="K32" i="7"/>
  <c r="J32" i="7"/>
  <c r="I32" i="7"/>
  <c r="T31" i="7"/>
  <c r="S31" i="7"/>
  <c r="R31" i="7"/>
  <c r="Q31" i="7"/>
  <c r="O31" i="7"/>
  <c r="N31" i="7"/>
  <c r="M31" i="7"/>
  <c r="L31" i="7"/>
  <c r="K31" i="7"/>
  <c r="J31" i="7"/>
  <c r="I31" i="7"/>
  <c r="T30" i="7"/>
  <c r="S30" i="7"/>
  <c r="R30" i="7"/>
  <c r="Q30" i="7"/>
  <c r="O30" i="7"/>
  <c r="N30" i="7"/>
  <c r="M30" i="7"/>
  <c r="L30" i="7"/>
  <c r="K30" i="7"/>
  <c r="J30" i="7"/>
  <c r="I30" i="7"/>
  <c r="T29" i="7"/>
  <c r="O29" i="7"/>
  <c r="T28" i="7"/>
  <c r="O28" i="7"/>
  <c r="T18" i="7"/>
  <c r="C34" i="7" s="1"/>
  <c r="E34" i="7" s="1"/>
  <c r="Q18" i="7"/>
  <c r="C33" i="7" s="1"/>
  <c r="E33" i="7" s="1"/>
  <c r="N18" i="7"/>
  <c r="C32" i="7" s="1"/>
  <c r="K18" i="7"/>
  <c r="C31" i="7" s="1"/>
  <c r="E31" i="7" s="1"/>
  <c r="H18" i="7"/>
  <c r="C30" i="7" s="1"/>
  <c r="E30" i="7" s="1"/>
  <c r="E18" i="7"/>
  <c r="C29" i="7" s="1"/>
  <c r="S17" i="7"/>
  <c r="R17" i="7"/>
  <c r="P17" i="7"/>
  <c r="O17" i="7"/>
  <c r="H33" i="7" s="1"/>
  <c r="M17" i="7"/>
  <c r="L17" i="7"/>
  <c r="H32" i="7" s="1"/>
  <c r="J17" i="7"/>
  <c r="I17" i="7"/>
  <c r="H31" i="7" s="1"/>
  <c r="G17" i="7"/>
  <c r="F17" i="7"/>
  <c r="H30" i="7" s="1"/>
  <c r="F16" i="7"/>
  <c r="D16" i="7"/>
  <c r="C16" i="7"/>
  <c r="T14" i="7"/>
  <c r="Q14" i="7"/>
  <c r="N14" i="7"/>
  <c r="K14" i="7"/>
  <c r="H14" i="7"/>
  <c r="E14" i="7"/>
  <c r="D14" i="7"/>
  <c r="C14" i="7"/>
  <c r="T13" i="7"/>
  <c r="Q13" i="7"/>
  <c r="N13" i="7"/>
  <c r="K13" i="7"/>
  <c r="H13" i="7"/>
  <c r="E13" i="7"/>
  <c r="D13" i="7"/>
  <c r="C13" i="7"/>
  <c r="S29" i="7" s="1"/>
  <c r="T12" i="7"/>
  <c r="Q12" i="7"/>
  <c r="N12" i="7"/>
  <c r="K12" i="7"/>
  <c r="H12" i="7"/>
  <c r="E12" i="7"/>
  <c r="D12" i="7"/>
  <c r="C12" i="7"/>
  <c r="R29" i="7" s="1"/>
  <c r="T11" i="7"/>
  <c r="Q11" i="7"/>
  <c r="N11" i="7"/>
  <c r="K11" i="7"/>
  <c r="H11" i="7"/>
  <c r="E11" i="7"/>
  <c r="D11" i="7"/>
  <c r="C11" i="7"/>
  <c r="Q29" i="7" s="1"/>
  <c r="C10" i="7"/>
  <c r="T9" i="7"/>
  <c r="Q9" i="7"/>
  <c r="N9" i="7"/>
  <c r="K9" i="7"/>
  <c r="H9" i="7"/>
  <c r="D9" i="7"/>
  <c r="C9" i="7"/>
  <c r="E9" i="7" s="1"/>
  <c r="T8" i="7"/>
  <c r="Q8" i="7"/>
  <c r="N8" i="7"/>
  <c r="K8" i="7"/>
  <c r="H8" i="7"/>
  <c r="D8" i="7"/>
  <c r="C8" i="7"/>
  <c r="N29" i="7" s="1"/>
  <c r="T7" i="7"/>
  <c r="D7" i="7"/>
  <c r="C7" i="7"/>
  <c r="E7" i="7" s="1"/>
  <c r="T6" i="7"/>
  <c r="N6" i="7"/>
  <c r="K6" i="7"/>
  <c r="H6" i="7"/>
  <c r="E6" i="7"/>
  <c r="D6" i="7"/>
  <c r="C6" i="7"/>
  <c r="L29" i="7" s="1"/>
  <c r="T5" i="7"/>
  <c r="Q5" i="7"/>
  <c r="Q17" i="7" s="1"/>
  <c r="N5" i="7"/>
  <c r="K5" i="7"/>
  <c r="H5" i="7"/>
  <c r="E5" i="7"/>
  <c r="D5" i="7"/>
  <c r="C5" i="7"/>
  <c r="K29" i="7" s="1"/>
  <c r="T4" i="7"/>
  <c r="N4" i="7"/>
  <c r="K4" i="7"/>
  <c r="H4" i="7"/>
  <c r="D4" i="7"/>
  <c r="E4" i="7" s="1"/>
  <c r="C4" i="7"/>
  <c r="J29" i="7" s="1"/>
  <c r="T3" i="7"/>
  <c r="T17" i="7" s="1"/>
  <c r="N3" i="7"/>
  <c r="N17" i="7" s="1"/>
  <c r="K3" i="7"/>
  <c r="K17" i="7" s="1"/>
  <c r="H3" i="7"/>
  <c r="H17" i="7" s="1"/>
  <c r="D3" i="7"/>
  <c r="C3" i="7"/>
  <c r="D46" i="6"/>
  <c r="C46" i="6"/>
  <c r="B46" i="6"/>
  <c r="C44" i="6"/>
  <c r="C43" i="6"/>
  <c r="B43" i="6"/>
  <c r="B42" i="6" s="1"/>
  <c r="D42" i="6"/>
  <c r="C42" i="6"/>
  <c r="B35" i="6"/>
  <c r="G30" i="6" s="1"/>
  <c r="D34" i="6"/>
  <c r="C34" i="6"/>
  <c r="B34" i="6"/>
  <c r="D33" i="6"/>
  <c r="D35" i="6" s="1"/>
  <c r="I30" i="6" s="1"/>
  <c r="C33" i="6"/>
  <c r="C35" i="6" s="1"/>
  <c r="H30" i="6" s="1"/>
  <c r="B33" i="6"/>
  <c r="G31" i="6"/>
  <c r="D25" i="6"/>
  <c r="C25" i="6"/>
  <c r="B25" i="6"/>
  <c r="I20" i="6"/>
  <c r="G20" i="6"/>
  <c r="D19" i="6"/>
  <c r="C19" i="6"/>
  <c r="B19" i="6"/>
  <c r="D18" i="6"/>
  <c r="C18" i="6"/>
  <c r="B18" i="6"/>
  <c r="D15" i="6"/>
  <c r="I24" i="6" s="1"/>
  <c r="H10" i="6"/>
  <c r="I9" i="6"/>
  <c r="H9" i="6"/>
  <c r="H29" i="6" s="1"/>
  <c r="H32" i="6" s="1"/>
  <c r="G9" i="6"/>
  <c r="G29" i="6" s="1"/>
  <c r="I8" i="6"/>
  <c r="I26" i="6" s="1"/>
  <c r="H8" i="6"/>
  <c r="H31" i="6" s="1"/>
  <c r="G8" i="6"/>
  <c r="I7" i="6"/>
  <c r="H7" i="6"/>
  <c r="G7" i="6"/>
  <c r="I6" i="6"/>
  <c r="H6" i="6"/>
  <c r="H5" i="6" s="1"/>
  <c r="G6" i="6"/>
  <c r="G5" i="6" s="1"/>
  <c r="D6" i="6"/>
  <c r="C6" i="6"/>
  <c r="B6" i="6"/>
  <c r="G4" i="6" s="1"/>
  <c r="H4" i="6"/>
  <c r="I3" i="6"/>
  <c r="G3" i="6"/>
  <c r="G25" i="6" s="1"/>
  <c r="D2" i="6"/>
  <c r="C2" i="6"/>
  <c r="H3" i="6" s="1"/>
  <c r="B2" i="6"/>
  <c r="P114" i="5"/>
  <c r="J114" i="5"/>
  <c r="P113" i="5"/>
  <c r="L113" i="5"/>
  <c r="J113" i="5"/>
  <c r="P112" i="5"/>
  <c r="J112" i="5"/>
  <c r="P111" i="5"/>
  <c r="L111" i="5"/>
  <c r="J111" i="5"/>
  <c r="N110" i="5"/>
  <c r="L110" i="5"/>
  <c r="J110" i="5"/>
  <c r="N108" i="5"/>
  <c r="O107" i="5"/>
  <c r="P106" i="5"/>
  <c r="N106" i="5"/>
  <c r="O105" i="5"/>
  <c r="O104" i="5"/>
  <c r="N104" i="5"/>
  <c r="N109" i="5" s="1"/>
  <c r="C100" i="5"/>
  <c r="L114" i="5" s="1"/>
  <c r="P94" i="5"/>
  <c r="J94" i="5"/>
  <c r="P93" i="5"/>
  <c r="J93" i="5"/>
  <c r="P92" i="5"/>
  <c r="J92" i="5"/>
  <c r="P91" i="5"/>
  <c r="L91" i="5"/>
  <c r="J91" i="5"/>
  <c r="P89" i="5"/>
  <c r="O88" i="5"/>
  <c r="P87" i="5"/>
  <c r="P86" i="5"/>
  <c r="P88" i="5" s="1"/>
  <c r="P85" i="5"/>
  <c r="O85" i="5"/>
  <c r="P84" i="5"/>
  <c r="N84" i="5"/>
  <c r="N89" i="5" s="1"/>
  <c r="C80" i="5"/>
  <c r="L92" i="5" s="1"/>
  <c r="P74" i="5"/>
  <c r="J74" i="5"/>
  <c r="P73" i="5"/>
  <c r="J73" i="5"/>
  <c r="P72" i="5"/>
  <c r="J72" i="5"/>
  <c r="L72" i="5" s="1"/>
  <c r="P71" i="5"/>
  <c r="J71" i="5"/>
  <c r="L71" i="5" s="1"/>
  <c r="P70" i="5"/>
  <c r="N70" i="5"/>
  <c r="P69" i="5"/>
  <c r="P68" i="5"/>
  <c r="N67" i="5"/>
  <c r="P66" i="5"/>
  <c r="P67" i="5" s="1"/>
  <c r="O66" i="5"/>
  <c r="N66" i="5"/>
  <c r="O65" i="5"/>
  <c r="O68" i="5" s="1"/>
  <c r="P64" i="5"/>
  <c r="O64" i="5"/>
  <c r="N64" i="5"/>
  <c r="N69" i="5" s="1"/>
  <c r="C60" i="5"/>
  <c r="L73" i="5" s="1"/>
  <c r="P54" i="5"/>
  <c r="O54" i="5"/>
  <c r="N54" i="5"/>
  <c r="J54" i="5"/>
  <c r="P53" i="5"/>
  <c r="O53" i="5"/>
  <c r="N53" i="5"/>
  <c r="J53" i="5"/>
  <c r="P52" i="5"/>
  <c r="O52" i="5"/>
  <c r="N52" i="5"/>
  <c r="J52" i="5"/>
  <c r="P51" i="5"/>
  <c r="O51" i="5"/>
  <c r="N51" i="5"/>
  <c r="J51" i="5"/>
  <c r="P47" i="5"/>
  <c r="P48" i="5" s="1"/>
  <c r="P49" i="5" s="1"/>
  <c r="P50" i="5" s="1"/>
  <c r="P45" i="5"/>
  <c r="P44" i="5"/>
  <c r="O44" i="5"/>
  <c r="C40" i="5"/>
  <c r="L54" i="5" s="1"/>
  <c r="P34" i="5"/>
  <c r="O34" i="5"/>
  <c r="N34" i="5"/>
  <c r="J34" i="5"/>
  <c r="L34" i="5" s="1"/>
  <c r="P33" i="5"/>
  <c r="O33" i="5"/>
  <c r="N33" i="5"/>
  <c r="J33" i="5"/>
  <c r="L33" i="5" s="1"/>
  <c r="P32" i="5"/>
  <c r="O32" i="5"/>
  <c r="N32" i="5"/>
  <c r="J32" i="5"/>
  <c r="L32" i="5" s="1"/>
  <c r="B32" i="5"/>
  <c r="P31" i="5"/>
  <c r="O31" i="5"/>
  <c r="N31" i="5"/>
  <c r="J31" i="5"/>
  <c r="C20" i="5"/>
  <c r="L31" i="5" s="1"/>
  <c r="B16" i="5"/>
  <c r="C15" i="5"/>
  <c r="B15" i="5"/>
  <c r="C14" i="5"/>
  <c r="B14" i="5"/>
  <c r="B53" i="5" s="1"/>
  <c r="C13" i="5"/>
  <c r="B13" i="5"/>
  <c r="C12" i="5"/>
  <c r="B12" i="5"/>
  <c r="C11" i="5"/>
  <c r="C10" i="5"/>
  <c r="C9" i="5"/>
  <c r="C8" i="5"/>
  <c r="C7" i="5"/>
  <c r="C6" i="5"/>
  <c r="C5" i="5"/>
  <c r="C4" i="5"/>
  <c r="C16" i="5" s="1"/>
  <c r="I22" i="4"/>
  <c r="I21" i="4"/>
  <c r="H20" i="4"/>
  <c r="G20" i="4"/>
  <c r="H15" i="4"/>
  <c r="G15" i="4"/>
  <c r="F15" i="4"/>
  <c r="E15" i="4"/>
  <c r="D15" i="4"/>
  <c r="C15" i="4"/>
  <c r="H14" i="4"/>
  <c r="G14" i="4"/>
  <c r="I14" i="4" s="1"/>
  <c r="F14" i="4"/>
  <c r="E14" i="4"/>
  <c r="D14" i="4"/>
  <c r="C14" i="4"/>
  <c r="H13" i="4"/>
  <c r="G13" i="4"/>
  <c r="I13" i="4" s="1"/>
  <c r="F13" i="4"/>
  <c r="E13" i="4"/>
  <c r="D13" i="4"/>
  <c r="C13" i="4"/>
  <c r="H12" i="4"/>
  <c r="I12" i="4" s="1"/>
  <c r="G12" i="4"/>
  <c r="F12" i="4"/>
  <c r="E12" i="4"/>
  <c r="D12" i="4"/>
  <c r="C12" i="4"/>
  <c r="I11" i="4"/>
  <c r="H11" i="4"/>
  <c r="G11" i="4"/>
  <c r="F11" i="4"/>
  <c r="E11" i="4"/>
  <c r="D11" i="4"/>
  <c r="C11" i="4"/>
  <c r="H10" i="4"/>
  <c r="G10" i="4"/>
  <c r="F10" i="4"/>
  <c r="E10" i="4"/>
  <c r="D10" i="4"/>
  <c r="C10" i="4"/>
  <c r="H9" i="4"/>
  <c r="I9" i="4" s="1"/>
  <c r="G9" i="4"/>
  <c r="F9" i="4"/>
  <c r="E9" i="4"/>
  <c r="D9" i="4"/>
  <c r="C9" i="4"/>
  <c r="I8" i="4"/>
  <c r="H8" i="4"/>
  <c r="G8" i="4"/>
  <c r="F8" i="4"/>
  <c r="E8" i="4"/>
  <c r="D8" i="4"/>
  <c r="C8" i="4"/>
  <c r="H7" i="4"/>
  <c r="G7" i="4"/>
  <c r="I7" i="4" s="1"/>
  <c r="F7" i="4"/>
  <c r="E7" i="4"/>
  <c r="D7" i="4"/>
  <c r="C7" i="4"/>
  <c r="H6" i="4"/>
  <c r="G6" i="4"/>
  <c r="I6" i="4" s="1"/>
  <c r="J6" i="4" s="1"/>
  <c r="F6" i="4"/>
  <c r="E6" i="4"/>
  <c r="D6" i="4"/>
  <c r="C6" i="4"/>
  <c r="H5" i="4"/>
  <c r="I5" i="4" s="1"/>
  <c r="G5" i="4"/>
  <c r="F5" i="4"/>
  <c r="E5" i="4"/>
  <c r="D5" i="4"/>
  <c r="D17" i="4" s="1"/>
  <c r="C5" i="4"/>
  <c r="I4" i="4"/>
  <c r="H4" i="4"/>
  <c r="G4" i="4"/>
  <c r="F4" i="4"/>
  <c r="E4" i="4"/>
  <c r="D4" i="4"/>
  <c r="C4" i="4"/>
  <c r="H3" i="4"/>
  <c r="G3" i="4"/>
  <c r="F3" i="4"/>
  <c r="E3" i="4"/>
  <c r="D3" i="4"/>
  <c r="C3" i="4"/>
  <c r="X138" i="3"/>
  <c r="U138" i="3"/>
  <c r="R138" i="3"/>
  <c r="O138" i="3"/>
  <c r="L138" i="3"/>
  <c r="I138" i="3"/>
  <c r="X127" i="3"/>
  <c r="U127" i="3"/>
  <c r="R127" i="3"/>
  <c r="O127" i="3"/>
  <c r="L127" i="3"/>
  <c r="I127" i="3"/>
  <c r="X122" i="3"/>
  <c r="L122" i="3"/>
  <c r="X106" i="3"/>
  <c r="U106" i="3"/>
  <c r="R106" i="3"/>
  <c r="O106" i="3"/>
  <c r="L106" i="3"/>
  <c r="I106" i="3"/>
  <c r="Z72" i="3"/>
  <c r="Y72" i="3"/>
  <c r="X72" i="3"/>
  <c r="W72" i="3"/>
  <c r="T72" i="3"/>
  <c r="S72" i="3"/>
  <c r="Q72" i="3"/>
  <c r="N72" i="3"/>
  <c r="M72" i="3"/>
  <c r="L72" i="3"/>
  <c r="K72" i="3"/>
  <c r="H72" i="3"/>
  <c r="G72" i="3"/>
  <c r="E72" i="3"/>
  <c r="H71" i="3"/>
  <c r="Z70" i="3"/>
  <c r="Z71" i="3" s="1"/>
  <c r="Y70" i="3"/>
  <c r="Y71" i="3" s="1"/>
  <c r="X70" i="3"/>
  <c r="X71" i="3" s="1"/>
  <c r="W70" i="3"/>
  <c r="W71" i="3" s="1"/>
  <c r="T70" i="3"/>
  <c r="T71" i="3" s="1"/>
  <c r="S70" i="3"/>
  <c r="S71" i="3" s="1"/>
  <c r="R70" i="3"/>
  <c r="R71" i="3" s="1"/>
  <c r="Q70" i="3"/>
  <c r="Q71" i="3" s="1"/>
  <c r="N70" i="3"/>
  <c r="N71" i="3" s="1"/>
  <c r="M70" i="3"/>
  <c r="M71" i="3" s="1"/>
  <c r="K70" i="3"/>
  <c r="K71" i="3" s="1"/>
  <c r="H70" i="3"/>
  <c r="G70" i="3"/>
  <c r="G71" i="3" s="1"/>
  <c r="E70" i="3"/>
  <c r="E71" i="3" s="1"/>
  <c r="Z68" i="3"/>
  <c r="Y68" i="3"/>
  <c r="X68" i="3"/>
  <c r="W68" i="3"/>
  <c r="T68" i="3"/>
  <c r="S68" i="3"/>
  <c r="R68" i="3"/>
  <c r="Q68" i="3"/>
  <c r="N68" i="3"/>
  <c r="M68" i="3"/>
  <c r="K68" i="3"/>
  <c r="H68" i="3"/>
  <c r="G68" i="3"/>
  <c r="F68" i="3"/>
  <c r="E68" i="3"/>
  <c r="Z67" i="3"/>
  <c r="Y67" i="3"/>
  <c r="X67" i="3"/>
  <c r="W67" i="3"/>
  <c r="T67" i="3"/>
  <c r="S67" i="3"/>
  <c r="R67" i="3"/>
  <c r="Q67" i="3"/>
  <c r="N67" i="3"/>
  <c r="M67" i="3"/>
  <c r="L67" i="3"/>
  <c r="K67" i="3"/>
  <c r="H67" i="3"/>
  <c r="G67" i="3"/>
  <c r="F67" i="3"/>
  <c r="E67" i="3"/>
  <c r="X66" i="3"/>
  <c r="R66" i="3"/>
  <c r="R72" i="3" s="1"/>
  <c r="L66" i="3"/>
  <c r="L68" i="3" s="1"/>
  <c r="F66" i="3"/>
  <c r="F72" i="3" s="1"/>
  <c r="E62" i="3"/>
  <c r="N54" i="3"/>
  <c r="M54" i="3"/>
  <c r="L54" i="3"/>
  <c r="K54" i="3"/>
  <c r="J54" i="3"/>
  <c r="I54" i="3"/>
  <c r="E54" i="3"/>
  <c r="D54" i="3"/>
  <c r="C54" i="3"/>
  <c r="N53" i="3"/>
  <c r="M53" i="3"/>
  <c r="L53" i="3"/>
  <c r="K53" i="3"/>
  <c r="J53" i="3"/>
  <c r="I53" i="3"/>
  <c r="E53" i="3"/>
  <c r="D53" i="3"/>
  <c r="C53" i="3"/>
  <c r="N52" i="3"/>
  <c r="M52" i="3"/>
  <c r="L52" i="3"/>
  <c r="K52" i="3"/>
  <c r="J52" i="3"/>
  <c r="I52" i="3"/>
  <c r="E52" i="3"/>
  <c r="D52" i="3"/>
  <c r="C52" i="3"/>
  <c r="N51" i="3"/>
  <c r="M51" i="3"/>
  <c r="L51" i="3"/>
  <c r="K51" i="3"/>
  <c r="J51" i="3"/>
  <c r="I51" i="3"/>
  <c r="E51" i="3"/>
  <c r="D51" i="3"/>
  <c r="C51" i="3"/>
  <c r="N50" i="3"/>
  <c r="M50" i="3"/>
  <c r="L50" i="3"/>
  <c r="K50" i="3"/>
  <c r="J50" i="3"/>
  <c r="I50" i="3"/>
  <c r="E50" i="3"/>
  <c r="D50" i="3"/>
  <c r="C50" i="3"/>
  <c r="N49" i="3"/>
  <c r="M49" i="3"/>
  <c r="L49" i="3"/>
  <c r="K49" i="3"/>
  <c r="J49" i="3"/>
  <c r="I49" i="3"/>
  <c r="E49" i="3"/>
  <c r="D49" i="3"/>
  <c r="C49" i="3"/>
  <c r="N48" i="3"/>
  <c r="N46" i="3"/>
  <c r="K46" i="3"/>
  <c r="N45" i="3"/>
  <c r="M45" i="3"/>
  <c r="L45" i="3"/>
  <c r="S69" i="3" s="1"/>
  <c r="K45" i="3"/>
  <c r="I45" i="3"/>
  <c r="F45" i="3"/>
  <c r="E45" i="3"/>
  <c r="C45" i="3"/>
  <c r="N42" i="3"/>
  <c r="L42" i="3"/>
  <c r="U66" i="3" s="1"/>
  <c r="K42" i="3"/>
  <c r="J42" i="3"/>
  <c r="H42" i="3"/>
  <c r="E42" i="3"/>
  <c r="K2" i="3"/>
  <c r="C79" i="2"/>
  <c r="C78" i="2"/>
  <c r="C77" i="2"/>
  <c r="C76" i="2"/>
  <c r="C75" i="2"/>
  <c r="C41" i="2"/>
  <c r="E60" i="3" s="1"/>
  <c r="D28" i="2"/>
  <c r="C28" i="2"/>
  <c r="Q25" i="2"/>
  <c r="M48" i="3" s="1"/>
  <c r="P25" i="2"/>
  <c r="L48" i="3" s="1"/>
  <c r="O25" i="2"/>
  <c r="K48" i="3" s="1"/>
  <c r="N25" i="2"/>
  <c r="J48" i="3" s="1"/>
  <c r="M25" i="2"/>
  <c r="I48" i="3" s="1"/>
  <c r="I25" i="2"/>
  <c r="E48" i="3" s="1"/>
  <c r="R24" i="2"/>
  <c r="N47" i="3" s="1"/>
  <c r="P24" i="2"/>
  <c r="L47" i="3" s="1"/>
  <c r="N24" i="2"/>
  <c r="J47" i="3" s="1"/>
  <c r="I24" i="2"/>
  <c r="E47" i="3" s="1"/>
  <c r="E24" i="2"/>
  <c r="D24" i="2"/>
  <c r="C24" i="2"/>
  <c r="Q23" i="2"/>
  <c r="M46" i="3" s="1"/>
  <c r="P23" i="2"/>
  <c r="L46" i="3" s="1"/>
  <c r="O23" i="2"/>
  <c r="O24" i="2" s="1"/>
  <c r="K47" i="3" s="1"/>
  <c r="N23" i="2"/>
  <c r="J46" i="3" s="1"/>
  <c r="M23" i="2"/>
  <c r="I46" i="3" s="1"/>
  <c r="I23" i="2"/>
  <c r="E46" i="3" s="1"/>
  <c r="N22" i="2"/>
  <c r="J45" i="3" s="1"/>
  <c r="H22" i="2"/>
  <c r="D45" i="3" s="1"/>
  <c r="D22" i="2"/>
  <c r="R21" i="2"/>
  <c r="N44" i="3" s="1"/>
  <c r="Q21" i="2"/>
  <c r="M44" i="3" s="1"/>
  <c r="P21" i="2"/>
  <c r="L44" i="3" s="1"/>
  <c r="O21" i="2"/>
  <c r="K44" i="3" s="1"/>
  <c r="M21" i="2"/>
  <c r="I44" i="3" s="1"/>
  <c r="R20" i="2"/>
  <c r="N43" i="3" s="1"/>
  <c r="P20" i="2"/>
  <c r="L43" i="3" s="1"/>
  <c r="O20" i="2"/>
  <c r="K43" i="3" s="1"/>
  <c r="N20" i="2"/>
  <c r="J43" i="3" s="1"/>
  <c r="I20" i="2"/>
  <c r="E43" i="3" s="1"/>
  <c r="Q19" i="2"/>
  <c r="M42" i="3" s="1"/>
  <c r="M19" i="2"/>
  <c r="I42" i="3" s="1"/>
  <c r="G19" i="2"/>
  <c r="C42" i="3" s="1"/>
  <c r="U72" i="3" l="1"/>
  <c r="U70" i="3"/>
  <c r="U71" i="3" s="1"/>
  <c r="U68" i="3"/>
  <c r="U67" i="3"/>
  <c r="V66" i="3"/>
  <c r="H19" i="2"/>
  <c r="G21" i="2"/>
  <c r="C44" i="3" s="1"/>
  <c r="N21" i="2"/>
  <c r="J44" i="3" s="1"/>
  <c r="G23" i="2"/>
  <c r="G25" i="2"/>
  <c r="C48" i="3" s="1"/>
  <c r="J14" i="4"/>
  <c r="K14" i="4" s="1"/>
  <c r="C66" i="3"/>
  <c r="P69" i="3"/>
  <c r="L70" i="3"/>
  <c r="L71" i="3" s="1"/>
  <c r="G69" i="3"/>
  <c r="F73" i="3" s="1"/>
  <c r="G20" i="2"/>
  <c r="C43" i="3" s="1"/>
  <c r="R111" i="3"/>
  <c r="J15" i="4"/>
  <c r="K15" i="4" s="1"/>
  <c r="O111" i="3"/>
  <c r="X111" i="3"/>
  <c r="L111" i="3"/>
  <c r="U111" i="3"/>
  <c r="M20" i="2"/>
  <c r="I43" i="3" s="1"/>
  <c r="Q20" i="2"/>
  <c r="M43" i="3" s="1"/>
  <c r="I21" i="2"/>
  <c r="E44" i="3" s="1"/>
  <c r="M24" i="2"/>
  <c r="I47" i="3" s="1"/>
  <c r="Q24" i="2"/>
  <c r="M47" i="3" s="1"/>
  <c r="E28" i="2"/>
  <c r="I111" i="3"/>
  <c r="O66" i="3"/>
  <c r="J69" i="3"/>
  <c r="V69" i="3"/>
  <c r="I66" i="3"/>
  <c r="M69" i="3"/>
  <c r="Y69" i="3"/>
  <c r="F70" i="3"/>
  <c r="F71" i="3" s="1"/>
  <c r="K6" i="4"/>
  <c r="D69" i="3"/>
  <c r="C73" i="3" s="1"/>
  <c r="C17" i="4"/>
  <c r="G17" i="4"/>
  <c r="E16" i="4"/>
  <c r="C53" i="5"/>
  <c r="D16" i="4"/>
  <c r="H16" i="4"/>
  <c r="J12" i="4"/>
  <c r="K12" i="4" s="1"/>
  <c r="E17" i="4"/>
  <c r="J13" i="4"/>
  <c r="K13" i="4" s="1"/>
  <c r="H17" i="4"/>
  <c r="C32" i="5"/>
  <c r="F17" i="4"/>
  <c r="F16" i="4"/>
  <c r="U122" i="3"/>
  <c r="I122" i="3"/>
  <c r="R122" i="3"/>
  <c r="O122" i="3"/>
  <c r="J11" i="4"/>
  <c r="K11" i="4" s="1"/>
  <c r="B111" i="5"/>
  <c r="B91" i="5"/>
  <c r="B71" i="5"/>
  <c r="B51" i="5"/>
  <c r="B31" i="5"/>
  <c r="B113" i="5"/>
  <c r="B73" i="5"/>
  <c r="B93" i="5"/>
  <c r="B33" i="5"/>
  <c r="B115" i="5"/>
  <c r="B95" i="5"/>
  <c r="B75" i="5"/>
  <c r="B55" i="5"/>
  <c r="B35" i="5"/>
  <c r="F32" i="5"/>
  <c r="L51" i="5"/>
  <c r="C16" i="4"/>
  <c r="G16" i="4"/>
  <c r="B112" i="5"/>
  <c r="B92" i="5"/>
  <c r="B52" i="5"/>
  <c r="B72" i="5"/>
  <c r="B114" i="5"/>
  <c r="B94" i="5"/>
  <c r="B74" i="5"/>
  <c r="B54" i="5"/>
  <c r="B34" i="5"/>
  <c r="L53" i="5"/>
  <c r="N71" i="5"/>
  <c r="N72" i="5" s="1"/>
  <c r="N73" i="5" s="1"/>
  <c r="N74" i="5" s="1"/>
  <c r="I3" i="4"/>
  <c r="L52" i="5"/>
  <c r="N65" i="5"/>
  <c r="O67" i="5"/>
  <c r="N68" i="5"/>
  <c r="L93" i="5"/>
  <c r="O69" i="5"/>
  <c r="L74" i="5"/>
  <c r="P65" i="5"/>
  <c r="O70" i="5"/>
  <c r="O71" i="5" s="1"/>
  <c r="O72" i="5" s="1"/>
  <c r="O73" i="5" s="1"/>
  <c r="O74" i="5" s="1"/>
  <c r="N90" i="5"/>
  <c r="N91" i="5" s="1"/>
  <c r="N92" i="5" s="1"/>
  <c r="N93" i="5" s="1"/>
  <c r="N94" i="5" s="1"/>
  <c r="N88" i="5"/>
  <c r="N87" i="5"/>
  <c r="O84" i="5"/>
  <c r="N85" i="5"/>
  <c r="N86" i="5"/>
  <c r="O89" i="5"/>
  <c r="O87" i="5"/>
  <c r="O90" i="5"/>
  <c r="O91" i="5" s="1"/>
  <c r="O92" i="5" s="1"/>
  <c r="O93" i="5" s="1"/>
  <c r="O94" i="5" s="1"/>
  <c r="O109" i="5"/>
  <c r="O108" i="5"/>
  <c r="O110" i="5"/>
  <c r="O106" i="5"/>
  <c r="P105" i="5"/>
  <c r="P108" i="5"/>
  <c r="P107" i="5"/>
  <c r="P109" i="5"/>
  <c r="P110" i="5"/>
  <c r="O86" i="5"/>
  <c r="L94" i="5"/>
  <c r="P90" i="5"/>
  <c r="P104" i="5"/>
  <c r="N107" i="5"/>
  <c r="I18" i="6"/>
  <c r="G10" i="6"/>
  <c r="I29" i="6"/>
  <c r="I32" i="6" s="1"/>
  <c r="D17" i="7"/>
  <c r="Q28" i="7"/>
  <c r="Q34" i="7"/>
  <c r="R34" i="7"/>
  <c r="R28" i="7"/>
  <c r="S28" i="7"/>
  <c r="S34" i="7"/>
  <c r="E32" i="7"/>
  <c r="H25" i="6"/>
  <c r="H24" i="6"/>
  <c r="H13" i="6"/>
  <c r="H19" i="6"/>
  <c r="H14" i="6"/>
  <c r="H20" i="6"/>
  <c r="H15" i="6"/>
  <c r="J28" i="7"/>
  <c r="J30" i="5" s="1"/>
  <c r="L30" i="5" s="1"/>
  <c r="J34" i="7"/>
  <c r="N28" i="7"/>
  <c r="J90" i="5" s="1"/>
  <c r="L90" i="5" s="1"/>
  <c r="N34" i="7"/>
  <c r="F29" i="7"/>
  <c r="E29" i="7"/>
  <c r="Q8" i="8"/>
  <c r="Q7" i="8"/>
  <c r="N105" i="5"/>
  <c r="L112" i="5"/>
  <c r="G15" i="6"/>
  <c r="G26" i="6"/>
  <c r="I10" i="6"/>
  <c r="I5" i="6"/>
  <c r="G32" i="6"/>
  <c r="I13" i="6"/>
  <c r="U8" i="8"/>
  <c r="U7" i="8"/>
  <c r="G19" i="6"/>
  <c r="G14" i="6"/>
  <c r="G18" i="6"/>
  <c r="G24" i="6"/>
  <c r="G13" i="6"/>
  <c r="H18" i="6"/>
  <c r="H21" i="6" s="1"/>
  <c r="H26" i="6"/>
  <c r="I29" i="7"/>
  <c r="C17" i="7"/>
  <c r="H29" i="7" s="1"/>
  <c r="H34" i="7" s="1"/>
  <c r="E3" i="7"/>
  <c r="K28" i="7"/>
  <c r="J50" i="5" s="1"/>
  <c r="L50" i="5" s="1"/>
  <c r="K34" i="7"/>
  <c r="L28" i="7"/>
  <c r="L34" i="7"/>
  <c r="I25" i="6"/>
  <c r="I31" i="6"/>
  <c r="C21" i="7"/>
  <c r="C25" i="7"/>
  <c r="M29" i="7"/>
  <c r="D34" i="7"/>
  <c r="S7" i="8"/>
  <c r="W7" i="8"/>
  <c r="I14" i="6"/>
  <c r="I15" i="6"/>
  <c r="I19" i="6"/>
  <c r="E8" i="7"/>
  <c r="C24" i="7"/>
  <c r="C28" i="7"/>
  <c r="O34" i="7"/>
  <c r="T34" i="7"/>
  <c r="T7" i="8"/>
  <c r="C23" i="7"/>
  <c r="C27" i="7"/>
  <c r="C22" i="7"/>
  <c r="C26" i="7"/>
  <c r="X3" i="8"/>
  <c r="R7" i="8"/>
  <c r="V7" i="8"/>
  <c r="F114" i="5" l="1"/>
  <c r="D114" i="5"/>
  <c r="E114" i="5"/>
  <c r="C114" i="5"/>
  <c r="C33" i="5"/>
  <c r="F33" i="5"/>
  <c r="G22" i="7"/>
  <c r="F22" i="7"/>
  <c r="E22" i="7"/>
  <c r="B5" i="5"/>
  <c r="I34" i="7"/>
  <c r="I26" i="7"/>
  <c r="I28" i="7"/>
  <c r="O111" i="5"/>
  <c r="O112" i="5" s="1"/>
  <c r="O113" i="5" s="1"/>
  <c r="O114" i="5" s="1"/>
  <c r="N111" i="5"/>
  <c r="N112" i="5" s="1"/>
  <c r="N113" i="5" s="1"/>
  <c r="N114" i="5" s="1"/>
  <c r="C54" i="5"/>
  <c r="F54" i="5"/>
  <c r="C72" i="5"/>
  <c r="E72" i="5"/>
  <c r="D72" i="5"/>
  <c r="G72" i="5" s="1"/>
  <c r="F72" i="5"/>
  <c r="C93" i="5"/>
  <c r="E93" i="5"/>
  <c r="D93" i="5"/>
  <c r="G93" i="5" s="1"/>
  <c r="F93" i="5"/>
  <c r="C51" i="5"/>
  <c r="F51" i="5"/>
  <c r="F53" i="5"/>
  <c r="O72" i="3"/>
  <c r="O70" i="3"/>
  <c r="O71" i="3" s="1"/>
  <c r="O68" i="3"/>
  <c r="O67" i="3"/>
  <c r="P66" i="3"/>
  <c r="I17" i="4"/>
  <c r="J3" i="4"/>
  <c r="I16" i="4"/>
  <c r="E27" i="7"/>
  <c r="G27" i="7"/>
  <c r="F27" i="7"/>
  <c r="B10" i="5"/>
  <c r="F24" i="7"/>
  <c r="E24" i="7"/>
  <c r="G24" i="7"/>
  <c r="M24" i="7" s="1"/>
  <c r="J66" i="5" s="1"/>
  <c r="L66" i="5" s="1"/>
  <c r="B7" i="5"/>
  <c r="G21" i="6"/>
  <c r="I21" i="6"/>
  <c r="L2" i="3"/>
  <c r="E74" i="5"/>
  <c r="C74" i="5"/>
  <c r="F74" i="5"/>
  <c r="D74" i="5"/>
  <c r="F52" i="5"/>
  <c r="C52" i="5"/>
  <c r="F73" i="5"/>
  <c r="D73" i="5"/>
  <c r="G73" i="5" s="1"/>
  <c r="C73" i="5"/>
  <c r="E73" i="5"/>
  <c r="D71" i="5"/>
  <c r="G71" i="5" s="1"/>
  <c r="C71" i="5"/>
  <c r="F71" i="5"/>
  <c r="E71" i="5"/>
  <c r="J66" i="3"/>
  <c r="I72" i="3"/>
  <c r="I70" i="3"/>
  <c r="I71" i="3" s="1"/>
  <c r="I68" i="3"/>
  <c r="I67" i="3"/>
  <c r="D42" i="3"/>
  <c r="H25" i="2"/>
  <c r="D48" i="3" s="1"/>
  <c r="H23" i="2"/>
  <c r="H20" i="2"/>
  <c r="E33" i="5" s="1"/>
  <c r="V72" i="3"/>
  <c r="V70" i="3"/>
  <c r="V71" i="3" s="1"/>
  <c r="V68" i="3"/>
  <c r="V67" i="3"/>
  <c r="G26" i="7"/>
  <c r="M26" i="7" s="1"/>
  <c r="J68" i="5" s="1"/>
  <c r="L68" i="5" s="1"/>
  <c r="F26" i="7"/>
  <c r="E26" i="7"/>
  <c r="B9" i="5"/>
  <c r="M34" i="7"/>
  <c r="M22" i="7"/>
  <c r="J64" i="5" s="1"/>
  <c r="L64" i="5" s="1"/>
  <c r="M27" i="7"/>
  <c r="J69" i="5" s="1"/>
  <c r="L69" i="5" s="1"/>
  <c r="M28" i="7"/>
  <c r="J70" i="5" s="1"/>
  <c r="L70" i="5" s="1"/>
  <c r="E34" i="5"/>
  <c r="C34" i="5"/>
  <c r="F34" i="5"/>
  <c r="D34" i="5"/>
  <c r="G34" i="5" s="1"/>
  <c r="D112" i="5"/>
  <c r="F112" i="5"/>
  <c r="E112" i="5"/>
  <c r="C112" i="5"/>
  <c r="F31" i="5"/>
  <c r="E31" i="5"/>
  <c r="D31" i="5"/>
  <c r="C31" i="5"/>
  <c r="E111" i="5"/>
  <c r="D111" i="5"/>
  <c r="G111" i="5" s="1"/>
  <c r="F111" i="5"/>
  <c r="C111" i="5"/>
  <c r="U143" i="3"/>
  <c r="I143" i="3"/>
  <c r="R143" i="3"/>
  <c r="O143" i="3"/>
  <c r="X143" i="3"/>
  <c r="L143" i="3"/>
  <c r="C72" i="3"/>
  <c r="C70" i="3"/>
  <c r="C71" i="3" s="1"/>
  <c r="C68" i="3"/>
  <c r="C67" i="3"/>
  <c r="D66" i="3"/>
  <c r="J2" i="3"/>
  <c r="M2" i="3"/>
  <c r="G21" i="7"/>
  <c r="F21" i="7"/>
  <c r="E21" i="7"/>
  <c r="D29" i="7"/>
  <c r="B4" i="5"/>
  <c r="X8" i="8"/>
  <c r="X7" i="8"/>
  <c r="E23" i="7"/>
  <c r="G23" i="7"/>
  <c r="F23" i="7"/>
  <c r="B6" i="5"/>
  <c r="F28" i="7"/>
  <c r="E28" i="7"/>
  <c r="B11" i="5"/>
  <c r="G25" i="7"/>
  <c r="I25" i="7" s="1"/>
  <c r="F25" i="7"/>
  <c r="E25" i="7"/>
  <c r="B8" i="5"/>
  <c r="E17" i="7"/>
  <c r="E16" i="7"/>
  <c r="F94" i="5"/>
  <c r="D94" i="5"/>
  <c r="G94" i="5" s="1"/>
  <c r="C94" i="5"/>
  <c r="E94" i="5"/>
  <c r="D92" i="5"/>
  <c r="G92" i="5" s="1"/>
  <c r="F92" i="5"/>
  <c r="E92" i="5"/>
  <c r="C92" i="5"/>
  <c r="C113" i="5"/>
  <c r="E113" i="5"/>
  <c r="F113" i="5"/>
  <c r="D113" i="5"/>
  <c r="E91" i="5"/>
  <c r="C91" i="5"/>
  <c r="F91" i="5"/>
  <c r="D91" i="5"/>
  <c r="G91" i="5" s="1"/>
  <c r="C46" i="3"/>
  <c r="G24" i="2"/>
  <c r="C47" i="3" s="1"/>
  <c r="H91" i="5" l="1"/>
  <c r="I91" i="5" s="1"/>
  <c r="C37" i="2"/>
  <c r="E57" i="3"/>
  <c r="H34" i="5"/>
  <c r="I34" i="5" s="1"/>
  <c r="I24" i="7"/>
  <c r="G114" i="5"/>
  <c r="H114" i="5" s="1"/>
  <c r="I114" i="5" s="1"/>
  <c r="K23" i="7"/>
  <c r="J45" i="5" s="1"/>
  <c r="L45" i="5" s="1"/>
  <c r="Q23" i="7"/>
  <c r="S23" i="7"/>
  <c r="L23" i="7"/>
  <c r="J23" i="7"/>
  <c r="J25" i="5" s="1"/>
  <c r="L25" i="5" s="1"/>
  <c r="O23" i="7"/>
  <c r="J105" i="5" s="1"/>
  <c r="L105" i="5" s="1"/>
  <c r="R23" i="7"/>
  <c r="N23" i="7"/>
  <c r="J85" i="5" s="1"/>
  <c r="L85" i="5" s="1"/>
  <c r="T23" i="7"/>
  <c r="B103" i="5"/>
  <c r="C103" i="5" s="1"/>
  <c r="B83" i="5"/>
  <c r="C83" i="5" s="1"/>
  <c r="B63" i="5"/>
  <c r="C63" i="5" s="1"/>
  <c r="B43" i="5"/>
  <c r="C43" i="5" s="1"/>
  <c r="B23" i="5"/>
  <c r="C23" i="5" s="1"/>
  <c r="T21" i="7"/>
  <c r="O21" i="7"/>
  <c r="J103" i="5" s="1"/>
  <c r="Q21" i="7"/>
  <c r="K21" i="7"/>
  <c r="J43" i="5" s="1"/>
  <c r="L21" i="7"/>
  <c r="N21" i="7"/>
  <c r="J83" i="5" s="1"/>
  <c r="S21" i="7"/>
  <c r="R21" i="7"/>
  <c r="J21" i="7"/>
  <c r="J23" i="5" s="1"/>
  <c r="D72" i="3"/>
  <c r="D67" i="3"/>
  <c r="D70" i="3"/>
  <c r="D71" i="3" s="1"/>
  <c r="D68" i="3"/>
  <c r="G112" i="5"/>
  <c r="H71" i="5"/>
  <c r="I71" i="5"/>
  <c r="D4" i="2"/>
  <c r="B2" i="3"/>
  <c r="Q27" i="7"/>
  <c r="S27" i="7"/>
  <c r="K27" i="7"/>
  <c r="J49" i="5" s="1"/>
  <c r="L49" i="5" s="1"/>
  <c r="L27" i="7"/>
  <c r="J27" i="7"/>
  <c r="J29" i="5" s="1"/>
  <c r="L29" i="5" s="1"/>
  <c r="O27" i="7"/>
  <c r="J109" i="5" s="1"/>
  <c r="L109" i="5" s="1"/>
  <c r="R27" i="7"/>
  <c r="N27" i="7"/>
  <c r="J89" i="5" s="1"/>
  <c r="L89" i="5" s="1"/>
  <c r="T27" i="7"/>
  <c r="P72" i="3"/>
  <c r="P67" i="3"/>
  <c r="P70" i="3"/>
  <c r="P71" i="3" s="1"/>
  <c r="P68" i="3"/>
  <c r="I21" i="7"/>
  <c r="I23" i="7"/>
  <c r="S22" i="7"/>
  <c r="T22" i="7"/>
  <c r="L22" i="7"/>
  <c r="O22" i="7"/>
  <c r="J104" i="5" s="1"/>
  <c r="L104" i="5" s="1"/>
  <c r="R22" i="7"/>
  <c r="J22" i="7"/>
  <c r="J24" i="5" s="1"/>
  <c r="L24" i="5" s="1"/>
  <c r="Q22" i="7"/>
  <c r="K22" i="7"/>
  <c r="J44" i="5" s="1"/>
  <c r="L44" i="5" s="1"/>
  <c r="N22" i="7"/>
  <c r="J84" i="5" s="1"/>
  <c r="L84" i="5" s="1"/>
  <c r="D33" i="5"/>
  <c r="G33" i="5" s="1"/>
  <c r="D46" i="3"/>
  <c r="H24" i="2"/>
  <c r="D47" i="3" s="1"/>
  <c r="R24" i="7"/>
  <c r="N24" i="7"/>
  <c r="J86" i="5" s="1"/>
  <c r="L86" i="5" s="1"/>
  <c r="O24" i="7"/>
  <c r="J106" i="5" s="1"/>
  <c r="L106" i="5" s="1"/>
  <c r="K24" i="7"/>
  <c r="J46" i="5" s="1"/>
  <c r="L46" i="5" s="1"/>
  <c r="Q24" i="7"/>
  <c r="S24" i="7"/>
  <c r="T24" i="7"/>
  <c r="L24" i="7"/>
  <c r="J24" i="7"/>
  <c r="J26" i="5" s="1"/>
  <c r="L26" i="5" s="1"/>
  <c r="H33" i="5"/>
  <c r="I33" i="5"/>
  <c r="G113" i="5"/>
  <c r="H113" i="5" s="1"/>
  <c r="I113" i="5" s="1"/>
  <c r="I111" i="5"/>
  <c r="H111" i="5"/>
  <c r="H112" i="5"/>
  <c r="I112" i="5" s="1"/>
  <c r="M21" i="7"/>
  <c r="J63" i="5" s="1"/>
  <c r="M23" i="7"/>
  <c r="J65" i="5" s="1"/>
  <c r="L65" i="5" s="1"/>
  <c r="R26" i="7"/>
  <c r="J26" i="7"/>
  <c r="J28" i="5" s="1"/>
  <c r="L28" i="5" s="1"/>
  <c r="S26" i="7"/>
  <c r="T26" i="7"/>
  <c r="N26" i="7"/>
  <c r="J88" i="5" s="1"/>
  <c r="L88" i="5" s="1"/>
  <c r="Q26" i="7"/>
  <c r="K26" i="7"/>
  <c r="J48" i="5" s="1"/>
  <c r="L48" i="5" s="1"/>
  <c r="L26" i="7"/>
  <c r="O26" i="7"/>
  <c r="J108" i="5" s="1"/>
  <c r="L108" i="5" s="1"/>
  <c r="J72" i="3"/>
  <c r="J70" i="3"/>
  <c r="J71" i="3" s="1"/>
  <c r="J68" i="3"/>
  <c r="J67" i="3"/>
  <c r="H93" i="5"/>
  <c r="I93" i="5" s="1"/>
  <c r="H72" i="5"/>
  <c r="I72" i="5" s="1"/>
  <c r="I27" i="7"/>
  <c r="B104" i="5"/>
  <c r="B64" i="5"/>
  <c r="B84" i="5"/>
  <c r="B44" i="5"/>
  <c r="B24" i="5"/>
  <c r="B107" i="5"/>
  <c r="B87" i="5"/>
  <c r="B67" i="5"/>
  <c r="B47" i="5"/>
  <c r="B27" i="5"/>
  <c r="B110" i="5"/>
  <c r="B90" i="5"/>
  <c r="B50" i="5"/>
  <c r="B70" i="5"/>
  <c r="B30" i="5"/>
  <c r="H73" i="5"/>
  <c r="I73" i="5"/>
  <c r="K3" i="4"/>
  <c r="H92" i="5"/>
  <c r="I92" i="5" s="1"/>
  <c r="H94" i="5"/>
  <c r="I94" i="5" s="1"/>
  <c r="T25" i="7"/>
  <c r="O25" i="7"/>
  <c r="J107" i="5" s="1"/>
  <c r="L107" i="5" s="1"/>
  <c r="S25" i="7"/>
  <c r="J25" i="7"/>
  <c r="J27" i="5" s="1"/>
  <c r="L27" i="5" s="1"/>
  <c r="K25" i="7"/>
  <c r="J47" i="5" s="1"/>
  <c r="L47" i="5" s="1"/>
  <c r="L25" i="7"/>
  <c r="R25" i="7"/>
  <c r="N25" i="7"/>
  <c r="J87" i="5" s="1"/>
  <c r="L87" i="5" s="1"/>
  <c r="Q25" i="7"/>
  <c r="B105" i="5"/>
  <c r="B85" i="5"/>
  <c r="B65" i="5"/>
  <c r="B25" i="5"/>
  <c r="B45" i="5"/>
  <c r="G31" i="5"/>
  <c r="H31" i="5" s="1"/>
  <c r="I31" i="5" s="1"/>
  <c r="M25" i="7"/>
  <c r="J67" i="5" s="1"/>
  <c r="L67" i="5" s="1"/>
  <c r="B88" i="5"/>
  <c r="B48" i="5"/>
  <c r="B108" i="5"/>
  <c r="B68" i="5"/>
  <c r="B28" i="5"/>
  <c r="D43" i="3"/>
  <c r="H21" i="2"/>
  <c r="D32" i="5"/>
  <c r="E32" i="5"/>
  <c r="G74" i="5"/>
  <c r="H74" i="5" s="1"/>
  <c r="I74" i="5" s="1"/>
  <c r="B106" i="5"/>
  <c r="B86" i="5"/>
  <c r="B66" i="5"/>
  <c r="B26" i="5"/>
  <c r="B46" i="5"/>
  <c r="B109" i="5"/>
  <c r="B69" i="5"/>
  <c r="B89" i="5"/>
  <c r="B29" i="5"/>
  <c r="B49" i="5"/>
  <c r="I22" i="7"/>
  <c r="M74" i="5" l="1"/>
  <c r="K74" i="5"/>
  <c r="K93" i="5"/>
  <c r="M93" i="5"/>
  <c r="K112" i="5"/>
  <c r="M112" i="5"/>
  <c r="M34" i="5"/>
  <c r="K34" i="5"/>
  <c r="K114" i="5"/>
  <c r="M114" i="5"/>
  <c r="M94" i="5"/>
  <c r="K94" i="5"/>
  <c r="M31" i="5"/>
  <c r="K31" i="5"/>
  <c r="K92" i="5"/>
  <c r="M92" i="5"/>
  <c r="K72" i="5"/>
  <c r="M72" i="5"/>
  <c r="K113" i="5"/>
  <c r="M113" i="5"/>
  <c r="M91" i="5"/>
  <c r="K91" i="5"/>
  <c r="C47" i="5"/>
  <c r="E47" i="5"/>
  <c r="F47" i="5"/>
  <c r="D47" i="5"/>
  <c r="C84" i="5"/>
  <c r="D84" i="5"/>
  <c r="J75" i="5"/>
  <c r="L63" i="5"/>
  <c r="L75" i="5" s="1"/>
  <c r="G32" i="5"/>
  <c r="H32" i="5" s="1"/>
  <c r="I32" i="5" s="1"/>
  <c r="C68" i="5"/>
  <c r="F68" i="5"/>
  <c r="E68" i="5"/>
  <c r="D68" i="5"/>
  <c r="C65" i="5"/>
  <c r="E65" i="5"/>
  <c r="D65" i="5"/>
  <c r="G65" i="5" s="1"/>
  <c r="W131" i="3"/>
  <c r="G131" i="3"/>
  <c r="V131" i="3"/>
  <c r="H131" i="3"/>
  <c r="L131" i="3"/>
  <c r="F90" i="5"/>
  <c r="D90" i="5"/>
  <c r="C90" i="5"/>
  <c r="E90" i="5"/>
  <c r="D67" i="5"/>
  <c r="F67" i="5"/>
  <c r="E67" i="5"/>
  <c r="C67" i="5"/>
  <c r="D64" i="5"/>
  <c r="C64" i="5"/>
  <c r="H43" i="5"/>
  <c r="C60" i="2"/>
  <c r="H58" i="2"/>
  <c r="C58" i="2"/>
  <c r="E57" i="2"/>
  <c r="I55" i="2"/>
  <c r="D55" i="2"/>
  <c r="R53" i="2"/>
  <c r="E53" i="2"/>
  <c r="P52" i="2"/>
  <c r="C52" i="2"/>
  <c r="I49" i="2"/>
  <c r="D49" i="2"/>
  <c r="I57" i="2"/>
  <c r="I92" i="2" s="1"/>
  <c r="H55" i="2"/>
  <c r="D53" i="2"/>
  <c r="H49" i="2"/>
  <c r="D58" i="2"/>
  <c r="R55" i="2"/>
  <c r="D52" i="2"/>
  <c r="G58" i="2"/>
  <c r="D57" i="2"/>
  <c r="C55" i="2"/>
  <c r="I53" i="2"/>
  <c r="H52" i="2"/>
  <c r="H87" i="2" s="1"/>
  <c r="R49" i="2"/>
  <c r="C49" i="2"/>
  <c r="G60" i="2"/>
  <c r="G95" i="2" s="1"/>
  <c r="G57" i="2"/>
  <c r="G92" i="2" s="1"/>
  <c r="Q52" i="2"/>
  <c r="E49" i="2"/>
  <c r="E58" i="2"/>
  <c r="H57" i="2"/>
  <c r="H92" i="2" s="1"/>
  <c r="C57" i="2"/>
  <c r="G55" i="2"/>
  <c r="H53" i="2"/>
  <c r="C53" i="2"/>
  <c r="G52" i="2"/>
  <c r="G87" i="2" s="1"/>
  <c r="Q49" i="2"/>
  <c r="G49" i="2"/>
  <c r="I58" i="2"/>
  <c r="E55" i="2"/>
  <c r="G53" i="2"/>
  <c r="P49" i="2"/>
  <c r="F29" i="5"/>
  <c r="E29" i="5"/>
  <c r="D29" i="5"/>
  <c r="C29" i="5"/>
  <c r="F50" i="5"/>
  <c r="E50" i="5"/>
  <c r="D50" i="5"/>
  <c r="C50" i="5"/>
  <c r="M71" i="5"/>
  <c r="K71" i="5"/>
  <c r="J55" i="5"/>
  <c r="L43" i="5"/>
  <c r="L55" i="5" s="1"/>
  <c r="I103" i="5"/>
  <c r="H103" i="5"/>
  <c r="F90" i="3"/>
  <c r="X89" i="3"/>
  <c r="X121" i="3" s="1"/>
  <c r="T89" i="3"/>
  <c r="T121" i="3" s="1"/>
  <c r="P89" i="3"/>
  <c r="P121" i="3" s="1"/>
  <c r="L89" i="3"/>
  <c r="L121" i="3" s="1"/>
  <c r="H89" i="3"/>
  <c r="H121" i="3" s="1"/>
  <c r="D89" i="3"/>
  <c r="D121" i="3" s="1"/>
  <c r="X87" i="3"/>
  <c r="T87" i="3"/>
  <c r="P87" i="3"/>
  <c r="L87" i="3"/>
  <c r="H87" i="3"/>
  <c r="D87" i="3"/>
  <c r="V86" i="3"/>
  <c r="P86" i="3"/>
  <c r="J86" i="3"/>
  <c r="D86" i="3"/>
  <c r="Z89" i="3"/>
  <c r="Z121" i="3" s="1"/>
  <c r="V89" i="3"/>
  <c r="V121" i="3" s="1"/>
  <c r="R89" i="3"/>
  <c r="R121" i="3" s="1"/>
  <c r="N89" i="3"/>
  <c r="N121" i="3" s="1"/>
  <c r="J89" i="3"/>
  <c r="J121" i="3" s="1"/>
  <c r="F89" i="3"/>
  <c r="F121" i="3" s="1"/>
  <c r="Z87" i="3"/>
  <c r="V87" i="3"/>
  <c r="R87" i="3"/>
  <c r="N87" i="3"/>
  <c r="J87" i="3"/>
  <c r="F87" i="3"/>
  <c r="Y86" i="3"/>
  <c r="S86" i="3"/>
  <c r="M86" i="3"/>
  <c r="G86" i="3"/>
  <c r="W89" i="3"/>
  <c r="W121" i="3" s="1"/>
  <c r="O89" i="3"/>
  <c r="O121" i="3" s="1"/>
  <c r="G89" i="3"/>
  <c r="G121" i="3" s="1"/>
  <c r="W87" i="3"/>
  <c r="O87" i="3"/>
  <c r="G87" i="3"/>
  <c r="U86" i="3"/>
  <c r="I86" i="3"/>
  <c r="Y83" i="3"/>
  <c r="U83" i="3"/>
  <c r="Q83" i="3"/>
  <c r="M83" i="3"/>
  <c r="I83" i="3"/>
  <c r="E83" i="3"/>
  <c r="U89" i="3"/>
  <c r="U121" i="3" s="1"/>
  <c r="M89" i="3"/>
  <c r="M121" i="3" s="1"/>
  <c r="E89" i="3"/>
  <c r="E121" i="3" s="1"/>
  <c r="U87" i="3"/>
  <c r="M87" i="3"/>
  <c r="E87" i="3"/>
  <c r="R86" i="3"/>
  <c r="F86" i="3"/>
  <c r="X83" i="3"/>
  <c r="T83" i="3"/>
  <c r="P83" i="3"/>
  <c r="P131" i="3" s="1"/>
  <c r="L83" i="3"/>
  <c r="H83" i="3"/>
  <c r="D83" i="3"/>
  <c r="C90" i="3"/>
  <c r="S89" i="3"/>
  <c r="S121" i="3" s="1"/>
  <c r="K89" i="3"/>
  <c r="K121" i="3" s="1"/>
  <c r="C89" i="3"/>
  <c r="C121" i="3" s="1"/>
  <c r="S87" i="3"/>
  <c r="K87" i="3"/>
  <c r="C87" i="3"/>
  <c r="O86" i="3"/>
  <c r="C86" i="3"/>
  <c r="W83" i="3"/>
  <c r="S83" i="3"/>
  <c r="O83" i="3"/>
  <c r="K83" i="3"/>
  <c r="K131" i="3" s="1"/>
  <c r="G83" i="3"/>
  <c r="C83" i="3"/>
  <c r="Q87" i="3"/>
  <c r="R83" i="3"/>
  <c r="I89" i="3"/>
  <c r="I121" i="3" s="1"/>
  <c r="V83" i="3"/>
  <c r="Y89" i="3"/>
  <c r="Y121" i="3" s="1"/>
  <c r="I87" i="3"/>
  <c r="N83" i="3"/>
  <c r="L86" i="3"/>
  <c r="F83" i="3"/>
  <c r="Q89" i="3"/>
  <c r="Q121" i="3" s="1"/>
  <c r="X86" i="3"/>
  <c r="Z83" i="3"/>
  <c r="J83" i="3"/>
  <c r="Y87" i="3"/>
  <c r="D44" i="3"/>
  <c r="D53" i="5"/>
  <c r="E53" i="5"/>
  <c r="E54" i="5"/>
  <c r="D51" i="5"/>
  <c r="E51" i="5"/>
  <c r="D54" i="5"/>
  <c r="G54" i="5" s="1"/>
  <c r="H54" i="5" s="1"/>
  <c r="I54" i="5" s="1"/>
  <c r="D52" i="5"/>
  <c r="G52" i="5" s="1"/>
  <c r="H52" i="5" s="1"/>
  <c r="I52" i="5" s="1"/>
  <c r="E52" i="5"/>
  <c r="D108" i="5"/>
  <c r="C108" i="5"/>
  <c r="E108" i="5"/>
  <c r="F108" i="5"/>
  <c r="D85" i="5"/>
  <c r="E85" i="5"/>
  <c r="E95" i="5" s="1"/>
  <c r="C85" i="5"/>
  <c r="D30" i="5"/>
  <c r="C30" i="5"/>
  <c r="F30" i="5"/>
  <c r="E30" i="5"/>
  <c r="F110" i="5"/>
  <c r="E110" i="5"/>
  <c r="C110" i="5"/>
  <c r="D110" i="5"/>
  <c r="G110" i="5" s="1"/>
  <c r="C87" i="5"/>
  <c r="E87" i="5"/>
  <c r="F87" i="5"/>
  <c r="D87" i="5"/>
  <c r="G87" i="5" s="1"/>
  <c r="D24" i="5"/>
  <c r="C24" i="5"/>
  <c r="D104" i="5"/>
  <c r="C104" i="5"/>
  <c r="M111" i="5"/>
  <c r="K111" i="5"/>
  <c r="J95" i="5"/>
  <c r="L83" i="5"/>
  <c r="L95" i="5" s="1"/>
  <c r="J115" i="5"/>
  <c r="L103" i="5"/>
  <c r="L115" i="5" s="1"/>
  <c r="I63" i="5"/>
  <c r="H63" i="5"/>
  <c r="E46" i="5"/>
  <c r="C46" i="5"/>
  <c r="F46" i="5"/>
  <c r="D46" i="5"/>
  <c r="E106" i="5"/>
  <c r="C106" i="5"/>
  <c r="F106" i="5"/>
  <c r="D106" i="5"/>
  <c r="D28" i="5"/>
  <c r="G28" i="5" s="1"/>
  <c r="C28" i="5"/>
  <c r="F28" i="5"/>
  <c r="E28" i="5"/>
  <c r="D88" i="5"/>
  <c r="F88" i="5"/>
  <c r="E88" i="5"/>
  <c r="C88" i="5"/>
  <c r="E25" i="5"/>
  <c r="D25" i="5"/>
  <c r="G25" i="5" s="1"/>
  <c r="C25" i="5"/>
  <c r="M73" i="5"/>
  <c r="K73" i="5"/>
  <c r="K33" i="5"/>
  <c r="M33" i="5"/>
  <c r="H23" i="5"/>
  <c r="C35" i="5"/>
  <c r="C89" i="5"/>
  <c r="C95" i="5" s="1"/>
  <c r="E89" i="5"/>
  <c r="D89" i="5"/>
  <c r="G89" i="5" s="1"/>
  <c r="F89" i="5"/>
  <c r="D26" i="5"/>
  <c r="C26" i="5"/>
  <c r="F26" i="5"/>
  <c r="E26" i="5"/>
  <c r="F69" i="5"/>
  <c r="E69" i="5"/>
  <c r="D69" i="5"/>
  <c r="G69" i="5" s="1"/>
  <c r="C69" i="5"/>
  <c r="E66" i="5"/>
  <c r="C66" i="5"/>
  <c r="F66" i="5"/>
  <c r="D66" i="5"/>
  <c r="G66" i="5" s="1"/>
  <c r="E49" i="5"/>
  <c r="D49" i="5"/>
  <c r="C49" i="5"/>
  <c r="F49" i="5"/>
  <c r="C109" i="5"/>
  <c r="F109" i="5"/>
  <c r="D109" i="5"/>
  <c r="E109" i="5"/>
  <c r="D86" i="5"/>
  <c r="G86" i="5" s="1"/>
  <c r="E86" i="5"/>
  <c r="C86" i="5"/>
  <c r="F86" i="5"/>
  <c r="F95" i="5" s="1"/>
  <c r="D48" i="5"/>
  <c r="C48" i="5"/>
  <c r="F48" i="5"/>
  <c r="E48" i="5"/>
  <c r="E45" i="5"/>
  <c r="D45" i="5"/>
  <c r="C45" i="5"/>
  <c r="E105" i="5"/>
  <c r="E115" i="5" s="1"/>
  <c r="C105" i="5"/>
  <c r="D105" i="5"/>
  <c r="E70" i="5"/>
  <c r="D70" i="5"/>
  <c r="G70" i="5" s="1"/>
  <c r="C70" i="5"/>
  <c r="F70" i="5"/>
  <c r="F27" i="5"/>
  <c r="E27" i="5"/>
  <c r="D27" i="5"/>
  <c r="C27" i="5"/>
  <c r="D107" i="5"/>
  <c r="F107" i="5"/>
  <c r="E107" i="5"/>
  <c r="C107" i="5"/>
  <c r="C44" i="5"/>
  <c r="D44" i="5"/>
  <c r="L23" i="5"/>
  <c r="L35" i="5" s="1"/>
  <c r="J35" i="5"/>
  <c r="H83" i="5"/>
  <c r="F99" i="3" l="1"/>
  <c r="F117" i="3"/>
  <c r="F116" i="3"/>
  <c r="F115" i="3"/>
  <c r="F85" i="3"/>
  <c r="F84" i="3"/>
  <c r="W119" i="3"/>
  <c r="W88" i="3"/>
  <c r="W120" i="3"/>
  <c r="V119" i="3"/>
  <c r="V88" i="3"/>
  <c r="V120" i="3"/>
  <c r="G84" i="2"/>
  <c r="G50" i="2"/>
  <c r="G51" i="2"/>
  <c r="E59" i="2"/>
  <c r="I109" i="2"/>
  <c r="E109" i="2"/>
  <c r="E93" i="2"/>
  <c r="D104" i="2"/>
  <c r="D54" i="2"/>
  <c r="H65" i="5"/>
  <c r="I65" i="5"/>
  <c r="D95" i="5"/>
  <c r="G84" i="5"/>
  <c r="Q113" i="5"/>
  <c r="R113" i="5"/>
  <c r="R92" i="5"/>
  <c r="Q92" i="5"/>
  <c r="Q93" i="5"/>
  <c r="R93" i="5"/>
  <c r="K54" i="5"/>
  <c r="M54" i="5"/>
  <c r="J99" i="3"/>
  <c r="J117" i="3"/>
  <c r="J116" i="3"/>
  <c r="J115" i="3"/>
  <c r="J85" i="3"/>
  <c r="J84" i="3"/>
  <c r="Q119" i="3"/>
  <c r="Q88" i="3"/>
  <c r="Q120" i="3"/>
  <c r="Q123" i="3"/>
  <c r="P123" i="3"/>
  <c r="O123" i="3"/>
  <c r="O102" i="3"/>
  <c r="O125" i="3"/>
  <c r="O108" i="3"/>
  <c r="P124" i="3"/>
  <c r="O109" i="3"/>
  <c r="P108" i="3"/>
  <c r="P107" i="3"/>
  <c r="P109" i="3"/>
  <c r="O124" i="3"/>
  <c r="P125" i="3"/>
  <c r="O107" i="3"/>
  <c r="O118" i="3"/>
  <c r="Q107" i="3"/>
  <c r="P139" i="3"/>
  <c r="Q109" i="3"/>
  <c r="P140" i="3"/>
  <c r="O140" i="3"/>
  <c r="Q125" i="3"/>
  <c r="O134" i="3"/>
  <c r="Q108" i="3"/>
  <c r="O139" i="3"/>
  <c r="Q139" i="3"/>
  <c r="Q124" i="3"/>
  <c r="Q140" i="3"/>
  <c r="T117" i="3"/>
  <c r="T116" i="3"/>
  <c r="T115" i="3"/>
  <c r="T85" i="3"/>
  <c r="T99" i="3"/>
  <c r="T84" i="3"/>
  <c r="M99" i="3"/>
  <c r="M85" i="3"/>
  <c r="M84" i="3"/>
  <c r="M116" i="3"/>
  <c r="M117" i="3"/>
  <c r="M115" i="3"/>
  <c r="G102" i="3"/>
  <c r="G118" i="3"/>
  <c r="G134" i="3"/>
  <c r="F119" i="3"/>
  <c r="F88" i="3"/>
  <c r="F120" i="3"/>
  <c r="D102" i="3"/>
  <c r="D118" i="3"/>
  <c r="D134" i="3"/>
  <c r="T119" i="3"/>
  <c r="T88" i="3"/>
  <c r="T120" i="3"/>
  <c r="F127" i="3"/>
  <c r="F138" i="3"/>
  <c r="F106" i="3"/>
  <c r="F122" i="3"/>
  <c r="F111" i="3"/>
  <c r="F143" i="3"/>
  <c r="H54" i="2"/>
  <c r="I54" i="2"/>
  <c r="I51" i="2"/>
  <c r="I50" i="2"/>
  <c r="I84" i="2"/>
  <c r="C93" i="2"/>
  <c r="C109" i="2"/>
  <c r="C59" i="2"/>
  <c r="G109" i="2"/>
  <c r="M131" i="3"/>
  <c r="H86" i="5"/>
  <c r="I86" i="5"/>
  <c r="F75" i="5"/>
  <c r="F35" i="5"/>
  <c r="E35" i="5"/>
  <c r="G88" i="5"/>
  <c r="G85" i="5"/>
  <c r="G108" i="5"/>
  <c r="G53" i="5"/>
  <c r="H53" i="5" s="1"/>
  <c r="I53" i="5" s="1"/>
  <c r="Z99" i="3"/>
  <c r="Z117" i="3"/>
  <c r="Z116" i="3"/>
  <c r="Z115" i="3"/>
  <c r="Z85" i="3"/>
  <c r="Z84" i="3"/>
  <c r="M123" i="3"/>
  <c r="L123" i="3"/>
  <c r="N123" i="3"/>
  <c r="L102" i="3"/>
  <c r="L118" i="3"/>
  <c r="M107" i="3"/>
  <c r="L125" i="3"/>
  <c r="L108" i="3"/>
  <c r="L124" i="3"/>
  <c r="L109" i="3"/>
  <c r="M125" i="3"/>
  <c r="M109" i="3"/>
  <c r="M124" i="3"/>
  <c r="M108" i="3"/>
  <c r="N107" i="3"/>
  <c r="L107" i="3"/>
  <c r="M140" i="3"/>
  <c r="M139" i="3"/>
  <c r="N109" i="3"/>
  <c r="N124" i="3"/>
  <c r="L139" i="3"/>
  <c r="L140" i="3"/>
  <c r="N139" i="3"/>
  <c r="N140" i="3"/>
  <c r="N125" i="3"/>
  <c r="N108" i="3"/>
  <c r="L134" i="3"/>
  <c r="V99" i="3"/>
  <c r="V117" i="3"/>
  <c r="V116" i="3"/>
  <c r="V115" i="3"/>
  <c r="V85" i="3"/>
  <c r="V84" i="3"/>
  <c r="C117" i="3"/>
  <c r="C116" i="3"/>
  <c r="C115" i="3"/>
  <c r="C99" i="3"/>
  <c r="C84" i="3"/>
  <c r="C85" i="3"/>
  <c r="S117" i="3"/>
  <c r="S116" i="3"/>
  <c r="S115" i="3"/>
  <c r="S99" i="3"/>
  <c r="S84" i="3"/>
  <c r="S85" i="3"/>
  <c r="C119" i="3"/>
  <c r="C88" i="3"/>
  <c r="C120" i="3"/>
  <c r="H117" i="3"/>
  <c r="H116" i="3"/>
  <c r="H115" i="3"/>
  <c r="H85" i="3"/>
  <c r="H99" i="3"/>
  <c r="H84" i="3"/>
  <c r="X117" i="3"/>
  <c r="X116" i="3"/>
  <c r="X115" i="3"/>
  <c r="X85" i="3"/>
  <c r="X84" i="3"/>
  <c r="X99" i="3"/>
  <c r="M119" i="3"/>
  <c r="M88" i="3"/>
  <c r="M120" i="3"/>
  <c r="Q99" i="3"/>
  <c r="Q116" i="3"/>
  <c r="Q84" i="3"/>
  <c r="Q85" i="3"/>
  <c r="Q117" i="3"/>
  <c r="Q115" i="3"/>
  <c r="U123" i="3"/>
  <c r="W123" i="3"/>
  <c r="V123" i="3"/>
  <c r="U102" i="3"/>
  <c r="U125" i="3"/>
  <c r="U108" i="3"/>
  <c r="V107" i="3"/>
  <c r="V108" i="3"/>
  <c r="V125" i="3"/>
  <c r="V124" i="3"/>
  <c r="U118" i="3"/>
  <c r="U124" i="3"/>
  <c r="U109" i="3"/>
  <c r="U107" i="3"/>
  <c r="W107" i="3"/>
  <c r="V109" i="3"/>
  <c r="V139" i="3"/>
  <c r="U140" i="3"/>
  <c r="W109" i="3"/>
  <c r="W140" i="3"/>
  <c r="W124" i="3"/>
  <c r="V140" i="3"/>
  <c r="W139" i="3"/>
  <c r="U134" i="3"/>
  <c r="W125" i="3"/>
  <c r="W108" i="3"/>
  <c r="U139" i="3"/>
  <c r="M102" i="3"/>
  <c r="M118" i="3"/>
  <c r="M134" i="3"/>
  <c r="J119" i="3"/>
  <c r="J88" i="3"/>
  <c r="J120" i="3"/>
  <c r="Z119" i="3"/>
  <c r="Z88" i="3"/>
  <c r="Z120" i="3"/>
  <c r="J118" i="3"/>
  <c r="J102" i="3"/>
  <c r="J134" i="3"/>
  <c r="H119" i="3"/>
  <c r="H88" i="3"/>
  <c r="H120" i="3"/>
  <c r="X119" i="3"/>
  <c r="X88" i="3"/>
  <c r="X120" i="3"/>
  <c r="G50" i="5"/>
  <c r="H50" i="5" s="1"/>
  <c r="I50" i="5" s="1"/>
  <c r="G29" i="5"/>
  <c r="H29" i="5" s="1"/>
  <c r="I29" i="5" s="1"/>
  <c r="G54" i="2"/>
  <c r="I100" i="2"/>
  <c r="E51" i="2"/>
  <c r="E84" i="2"/>
  <c r="E50" i="2"/>
  <c r="E100" i="2"/>
  <c r="G100" i="2"/>
  <c r="C100" i="2"/>
  <c r="C50" i="2"/>
  <c r="C84" i="2"/>
  <c r="C51" i="2"/>
  <c r="C106" i="2"/>
  <c r="C87" i="2"/>
  <c r="C103" i="2"/>
  <c r="G103" i="2"/>
  <c r="D106" i="2"/>
  <c r="H59" i="2"/>
  <c r="H94" i="2" s="1"/>
  <c r="H93" i="2"/>
  <c r="C55" i="5"/>
  <c r="X131" i="3"/>
  <c r="Q131" i="3"/>
  <c r="J131" i="3"/>
  <c r="Z131" i="3"/>
  <c r="G68" i="5"/>
  <c r="H68" i="5" s="1"/>
  <c r="I68" i="5" s="1"/>
  <c r="M32" i="5"/>
  <c r="K32" i="5"/>
  <c r="H84" i="5"/>
  <c r="R94" i="5"/>
  <c r="Q94" i="5"/>
  <c r="Q34" i="5"/>
  <c r="R34" i="5"/>
  <c r="D115" i="5"/>
  <c r="G104" i="5"/>
  <c r="H110" i="5"/>
  <c r="I110" i="5" s="1"/>
  <c r="H108" i="5"/>
  <c r="I108" i="5"/>
  <c r="O117" i="3"/>
  <c r="O116" i="3"/>
  <c r="O115" i="3"/>
  <c r="O99" i="3"/>
  <c r="O85" i="3"/>
  <c r="O84" i="3"/>
  <c r="D117" i="3"/>
  <c r="D116" i="3"/>
  <c r="D115" i="3"/>
  <c r="D85" i="3"/>
  <c r="D99" i="3"/>
  <c r="Y117" i="3"/>
  <c r="D84" i="3"/>
  <c r="Y116" i="3"/>
  <c r="E88" i="3"/>
  <c r="E119" i="3"/>
  <c r="E120" i="3"/>
  <c r="I123" i="3"/>
  <c r="K123" i="3"/>
  <c r="J123" i="3"/>
  <c r="I102" i="3"/>
  <c r="J107" i="3"/>
  <c r="J109" i="3"/>
  <c r="I118" i="3"/>
  <c r="I125" i="3"/>
  <c r="I108" i="3"/>
  <c r="I107" i="3"/>
  <c r="K107" i="3"/>
  <c r="J108" i="3"/>
  <c r="J124" i="3"/>
  <c r="I124" i="3"/>
  <c r="I140" i="3"/>
  <c r="I109" i="3"/>
  <c r="J125" i="3"/>
  <c r="K139" i="3"/>
  <c r="K140" i="3"/>
  <c r="K124" i="3"/>
  <c r="I134" i="3"/>
  <c r="J140" i="3"/>
  <c r="I139" i="3"/>
  <c r="K109" i="3"/>
  <c r="J139" i="3"/>
  <c r="K125" i="3"/>
  <c r="K108" i="3"/>
  <c r="D119" i="3"/>
  <c r="D88" i="3"/>
  <c r="D120" i="3"/>
  <c r="D103" i="2"/>
  <c r="H103" i="2"/>
  <c r="D87" i="2"/>
  <c r="F131" i="3"/>
  <c r="G107" i="5"/>
  <c r="G109" i="5"/>
  <c r="H107" i="5"/>
  <c r="I107" i="5" s="1"/>
  <c r="G105" i="5"/>
  <c r="G45" i="5"/>
  <c r="H45" i="5" s="1"/>
  <c r="I45" i="5" s="1"/>
  <c r="G49" i="5"/>
  <c r="H49" i="5" s="1"/>
  <c r="I49" i="5" s="1"/>
  <c r="H66" i="5"/>
  <c r="I66" i="5" s="1"/>
  <c r="I23" i="5"/>
  <c r="R73" i="5"/>
  <c r="Q73" i="5"/>
  <c r="H88" i="5"/>
  <c r="I88" i="5" s="1"/>
  <c r="G106" i="5"/>
  <c r="H106" i="5" s="1"/>
  <c r="I106" i="5" s="1"/>
  <c r="G46" i="5"/>
  <c r="H46" i="5" s="1"/>
  <c r="I46" i="5" s="1"/>
  <c r="Q111" i="5"/>
  <c r="R111" i="5"/>
  <c r="D35" i="5"/>
  <c r="G24" i="5"/>
  <c r="H24" i="5" s="1"/>
  <c r="H87" i="5"/>
  <c r="I87" i="5"/>
  <c r="G30" i="5"/>
  <c r="H30" i="5" s="1"/>
  <c r="I30" i="5" s="1"/>
  <c r="G51" i="5"/>
  <c r="H51" i="5" s="1"/>
  <c r="I51" i="5" s="1"/>
  <c r="Y123" i="3"/>
  <c r="X123" i="3"/>
  <c r="Z123" i="3"/>
  <c r="X102" i="3"/>
  <c r="X124" i="3"/>
  <c r="X109" i="3"/>
  <c r="Y125" i="3"/>
  <c r="Y109" i="3"/>
  <c r="Y107" i="3"/>
  <c r="Z107" i="3"/>
  <c r="X107" i="3"/>
  <c r="X125" i="3"/>
  <c r="X108" i="3"/>
  <c r="Y124" i="3"/>
  <c r="Y108" i="3"/>
  <c r="X140" i="3"/>
  <c r="X118" i="3"/>
  <c r="X139" i="3"/>
  <c r="Y140" i="3"/>
  <c r="Z139" i="3"/>
  <c r="Z125" i="3"/>
  <c r="Y139" i="3"/>
  <c r="X134" i="3"/>
  <c r="Z140" i="3"/>
  <c r="Z108" i="3"/>
  <c r="Z124" i="3"/>
  <c r="Z109" i="3"/>
  <c r="N99" i="3"/>
  <c r="N117" i="3"/>
  <c r="N116" i="3"/>
  <c r="N115" i="3"/>
  <c r="N85" i="3"/>
  <c r="N84" i="3"/>
  <c r="G117" i="3"/>
  <c r="G116" i="3"/>
  <c r="G115" i="3"/>
  <c r="G99" i="3"/>
  <c r="G85" i="3"/>
  <c r="G84" i="3"/>
  <c r="W117" i="3"/>
  <c r="W116" i="3"/>
  <c r="W115" i="3"/>
  <c r="W99" i="3"/>
  <c r="W85" i="3"/>
  <c r="W84" i="3"/>
  <c r="K119" i="3"/>
  <c r="K88" i="3"/>
  <c r="K120" i="3"/>
  <c r="L117" i="3"/>
  <c r="L116" i="3"/>
  <c r="L115" i="3"/>
  <c r="L85" i="3"/>
  <c r="L99" i="3"/>
  <c r="L84" i="3"/>
  <c r="F126" i="3"/>
  <c r="H123" i="3"/>
  <c r="G123" i="3"/>
  <c r="F102" i="3"/>
  <c r="F123" i="3"/>
  <c r="G108" i="3"/>
  <c r="F118" i="3"/>
  <c r="F124" i="3"/>
  <c r="F108" i="3"/>
  <c r="F107" i="3"/>
  <c r="G107" i="3"/>
  <c r="G125" i="3"/>
  <c r="G109" i="3"/>
  <c r="F125" i="3"/>
  <c r="G124" i="3"/>
  <c r="F109" i="3"/>
  <c r="F110" i="3"/>
  <c r="H107" i="3"/>
  <c r="G140" i="3"/>
  <c r="F139" i="3"/>
  <c r="F134" i="3"/>
  <c r="H125" i="3"/>
  <c r="H108" i="3"/>
  <c r="F140" i="3"/>
  <c r="G139" i="3"/>
  <c r="H139" i="3"/>
  <c r="H140" i="3"/>
  <c r="H124" i="3"/>
  <c r="H109" i="3"/>
  <c r="F142" i="3"/>
  <c r="U88" i="3"/>
  <c r="U119" i="3"/>
  <c r="U120" i="3"/>
  <c r="E99" i="3"/>
  <c r="E84" i="3"/>
  <c r="E117" i="3"/>
  <c r="E115" i="3"/>
  <c r="E85" i="3"/>
  <c r="E116" i="3"/>
  <c r="U99" i="3"/>
  <c r="U84" i="3"/>
  <c r="U117" i="3"/>
  <c r="U115" i="3"/>
  <c r="U85" i="3"/>
  <c r="U116" i="3"/>
  <c r="G119" i="3"/>
  <c r="G88" i="3"/>
  <c r="G120" i="3"/>
  <c r="S102" i="3"/>
  <c r="S118" i="3"/>
  <c r="S134" i="3"/>
  <c r="N119" i="3"/>
  <c r="N88" i="3"/>
  <c r="N120" i="3"/>
  <c r="P102" i="3"/>
  <c r="P118" i="3"/>
  <c r="P134" i="3"/>
  <c r="L119" i="3"/>
  <c r="L88" i="3"/>
  <c r="L120" i="3"/>
  <c r="M103" i="5"/>
  <c r="K103" i="5"/>
  <c r="E106" i="2"/>
  <c r="G108" i="2"/>
  <c r="C108" i="2"/>
  <c r="C92" i="2"/>
  <c r="D108" i="2"/>
  <c r="H108" i="2"/>
  <c r="D92" i="2"/>
  <c r="D59" i="2"/>
  <c r="H109" i="2"/>
  <c r="D93" i="2"/>
  <c r="D109" i="2"/>
  <c r="G111" i="2"/>
  <c r="C111" i="2"/>
  <c r="C95" i="2"/>
  <c r="G90" i="5"/>
  <c r="H90" i="5" s="1"/>
  <c r="I90" i="5" s="1"/>
  <c r="D131" i="3"/>
  <c r="E131" i="3"/>
  <c r="U131" i="3"/>
  <c r="N131" i="3"/>
  <c r="O131" i="3"/>
  <c r="G47" i="5"/>
  <c r="H47" i="5" s="1"/>
  <c r="I47" i="5" s="1"/>
  <c r="Q72" i="5"/>
  <c r="R72" i="5"/>
  <c r="R114" i="5"/>
  <c r="Q114" i="5"/>
  <c r="R112" i="5"/>
  <c r="Q112" i="5"/>
  <c r="D55" i="5"/>
  <c r="G44" i="5"/>
  <c r="G55" i="5" s="1"/>
  <c r="H69" i="5"/>
  <c r="I69" i="5" s="1"/>
  <c r="H28" i="5"/>
  <c r="I28" i="5"/>
  <c r="C75" i="5"/>
  <c r="I83" i="5"/>
  <c r="G27" i="5"/>
  <c r="H27" i="5" s="1"/>
  <c r="I27" i="5" s="1"/>
  <c r="I70" i="5"/>
  <c r="H70" i="5"/>
  <c r="H105" i="5"/>
  <c r="I105" i="5" s="1"/>
  <c r="E55" i="5"/>
  <c r="G48" i="5"/>
  <c r="H48" i="5" s="1"/>
  <c r="I48" i="5" s="1"/>
  <c r="H109" i="5"/>
  <c r="I109" i="5" s="1"/>
  <c r="G26" i="5"/>
  <c r="H26" i="5" s="1"/>
  <c r="I26" i="5" s="1"/>
  <c r="H89" i="5"/>
  <c r="I89" i="5" s="1"/>
  <c r="R33" i="5"/>
  <c r="Q33" i="5"/>
  <c r="H25" i="5"/>
  <c r="I25" i="5" s="1"/>
  <c r="F115" i="5"/>
  <c r="F55" i="5"/>
  <c r="K63" i="5"/>
  <c r="M63" i="5"/>
  <c r="H104" i="5"/>
  <c r="H115" i="5" s="1"/>
  <c r="I104" i="5"/>
  <c r="H85" i="5"/>
  <c r="I85" i="5" s="1"/>
  <c r="M52" i="5"/>
  <c r="K52" i="5"/>
  <c r="Y119" i="3"/>
  <c r="Y88" i="3"/>
  <c r="Y120" i="3"/>
  <c r="I119" i="3"/>
  <c r="I88" i="3"/>
  <c r="I120" i="3"/>
  <c r="R99" i="3"/>
  <c r="R117" i="3"/>
  <c r="R116" i="3"/>
  <c r="R115" i="3"/>
  <c r="R85" i="3"/>
  <c r="R84" i="3"/>
  <c r="K117" i="3"/>
  <c r="K116" i="3"/>
  <c r="K115" i="3"/>
  <c r="K85" i="3"/>
  <c r="K84" i="3"/>
  <c r="K99" i="3"/>
  <c r="E123" i="3"/>
  <c r="D123" i="3"/>
  <c r="C126" i="3"/>
  <c r="C123" i="3"/>
  <c r="C102" i="3"/>
  <c r="C108" i="3"/>
  <c r="D107" i="3"/>
  <c r="D108" i="3"/>
  <c r="C118" i="3"/>
  <c r="C140" i="3"/>
  <c r="C124" i="3"/>
  <c r="D125" i="3"/>
  <c r="C125" i="3"/>
  <c r="C107" i="3"/>
  <c r="D124" i="3"/>
  <c r="C110" i="3"/>
  <c r="C109" i="3"/>
  <c r="E107" i="3"/>
  <c r="D109" i="3"/>
  <c r="C134" i="3"/>
  <c r="E124" i="3"/>
  <c r="E140" i="3"/>
  <c r="E109" i="3"/>
  <c r="D139" i="3"/>
  <c r="C139" i="3"/>
  <c r="E139" i="3"/>
  <c r="E125" i="3"/>
  <c r="C142" i="3"/>
  <c r="D140" i="3"/>
  <c r="E108" i="3"/>
  <c r="S119" i="3"/>
  <c r="S88" i="3"/>
  <c r="S120" i="3"/>
  <c r="C138" i="3"/>
  <c r="C127" i="3"/>
  <c r="C122" i="3"/>
  <c r="C106" i="3"/>
  <c r="C111" i="3"/>
  <c r="C143" i="3"/>
  <c r="P117" i="3"/>
  <c r="P116" i="3"/>
  <c r="P115" i="3"/>
  <c r="P85" i="3"/>
  <c r="P99" i="3"/>
  <c r="P84" i="3"/>
  <c r="T123" i="3"/>
  <c r="S123" i="3"/>
  <c r="R102" i="3"/>
  <c r="R123" i="3"/>
  <c r="R118" i="3"/>
  <c r="T107" i="3"/>
  <c r="S107" i="3"/>
  <c r="S125" i="3"/>
  <c r="R108" i="3"/>
  <c r="R109" i="3"/>
  <c r="R124" i="3"/>
  <c r="R125" i="3"/>
  <c r="R107" i="3"/>
  <c r="S124" i="3"/>
  <c r="S108" i="3"/>
  <c r="S109" i="3"/>
  <c r="R140" i="3"/>
  <c r="R139" i="3"/>
  <c r="S140" i="3"/>
  <c r="T124" i="3"/>
  <c r="T140" i="3"/>
  <c r="T109" i="3"/>
  <c r="T125" i="3"/>
  <c r="T108" i="3"/>
  <c r="S139" i="3"/>
  <c r="T139" i="3"/>
  <c r="R134" i="3"/>
  <c r="I99" i="3"/>
  <c r="I117" i="3"/>
  <c r="I115" i="3"/>
  <c r="I84" i="3"/>
  <c r="I116" i="3"/>
  <c r="I85" i="3"/>
  <c r="Y99" i="3"/>
  <c r="Y115" i="3"/>
  <c r="Y84" i="3"/>
  <c r="Y85" i="3"/>
  <c r="O119" i="3"/>
  <c r="O88" i="3"/>
  <c r="O120" i="3"/>
  <c r="Y118" i="3"/>
  <c r="Y102" i="3"/>
  <c r="Y134" i="3"/>
  <c r="R119" i="3"/>
  <c r="R88" i="3"/>
  <c r="R120" i="3"/>
  <c r="V102" i="3"/>
  <c r="V118" i="3"/>
  <c r="V134" i="3"/>
  <c r="P119" i="3"/>
  <c r="P88" i="3"/>
  <c r="P120" i="3"/>
  <c r="C115" i="5"/>
  <c r="R71" i="5"/>
  <c r="Q71" i="5"/>
  <c r="I59" i="2"/>
  <c r="I94" i="2" s="1"/>
  <c r="I93" i="2"/>
  <c r="C54" i="2"/>
  <c r="C104" i="2"/>
  <c r="G59" i="2"/>
  <c r="G94" i="2" s="1"/>
  <c r="G93" i="2"/>
  <c r="H50" i="2"/>
  <c r="H51" i="2"/>
  <c r="H84" i="2"/>
  <c r="D100" i="2"/>
  <c r="D50" i="2"/>
  <c r="D51" i="2"/>
  <c r="H100" i="2"/>
  <c r="D84" i="2"/>
  <c r="E104" i="2"/>
  <c r="E54" i="2"/>
  <c r="I108" i="2"/>
  <c r="E108" i="2"/>
  <c r="E92" i="2"/>
  <c r="I43" i="5"/>
  <c r="D75" i="5"/>
  <c r="G64" i="5"/>
  <c r="G75" i="5" s="1"/>
  <c r="G67" i="5"/>
  <c r="H67" i="5" s="1"/>
  <c r="I67" i="5" s="1"/>
  <c r="T131" i="3"/>
  <c r="I131" i="3"/>
  <c r="Y131" i="3"/>
  <c r="R131" i="3"/>
  <c r="C131" i="3"/>
  <c r="S131" i="3"/>
  <c r="E75" i="5"/>
  <c r="Q91" i="5"/>
  <c r="R91" i="5"/>
  <c r="R31" i="5"/>
  <c r="Q31" i="5"/>
  <c r="Q74" i="5"/>
  <c r="R74" i="5"/>
  <c r="M67" i="5" l="1"/>
  <c r="K67" i="5"/>
  <c r="K48" i="5"/>
  <c r="M48" i="5"/>
  <c r="I24" i="5"/>
  <c r="H35" i="5"/>
  <c r="M46" i="5"/>
  <c r="K46" i="5"/>
  <c r="K45" i="5"/>
  <c r="M45" i="5"/>
  <c r="K68" i="5"/>
  <c r="M68" i="5"/>
  <c r="M29" i="5"/>
  <c r="K29" i="5"/>
  <c r="M27" i="5"/>
  <c r="K27" i="5"/>
  <c r="K90" i="5"/>
  <c r="M90" i="5"/>
  <c r="K30" i="5"/>
  <c r="M30" i="5"/>
  <c r="M106" i="5"/>
  <c r="K106" i="5"/>
  <c r="H95" i="5"/>
  <c r="M50" i="5"/>
  <c r="K50" i="5"/>
  <c r="K89" i="5"/>
  <c r="M89" i="5"/>
  <c r="M25" i="5"/>
  <c r="K25" i="5"/>
  <c r="K26" i="5"/>
  <c r="M26" i="5"/>
  <c r="K105" i="5"/>
  <c r="M105" i="5"/>
  <c r="K69" i="5"/>
  <c r="M69" i="5"/>
  <c r="M88" i="5"/>
  <c r="K88" i="5"/>
  <c r="M66" i="5"/>
  <c r="K66" i="5"/>
  <c r="M107" i="5"/>
  <c r="K107" i="5"/>
  <c r="M110" i="5"/>
  <c r="K110" i="5"/>
  <c r="M85" i="5"/>
  <c r="K85" i="5"/>
  <c r="K109" i="5"/>
  <c r="M109" i="5"/>
  <c r="K47" i="5"/>
  <c r="M47" i="5"/>
  <c r="M49" i="5"/>
  <c r="K49" i="5"/>
  <c r="D101" i="2"/>
  <c r="R52" i="5"/>
  <c r="Q52" i="5"/>
  <c r="M23" i="3"/>
  <c r="M22" i="3"/>
  <c r="M23" i="5"/>
  <c r="K23" i="5"/>
  <c r="I84" i="5"/>
  <c r="M25" i="3"/>
  <c r="M24" i="3"/>
  <c r="D105" i="2"/>
  <c r="K43" i="5"/>
  <c r="M43" i="5"/>
  <c r="L25" i="3"/>
  <c r="L24" i="3"/>
  <c r="Q63" i="5"/>
  <c r="M83" i="5"/>
  <c r="K83" i="5"/>
  <c r="K51" i="5"/>
  <c r="M51" i="5"/>
  <c r="G35" i="5"/>
  <c r="K108" i="5"/>
  <c r="M108" i="5"/>
  <c r="G115" i="5"/>
  <c r="C101" i="2"/>
  <c r="E101" i="2"/>
  <c r="J22" i="3"/>
  <c r="J23" i="3"/>
  <c r="C94" i="2"/>
  <c r="G110" i="2"/>
  <c r="C110" i="2"/>
  <c r="J24" i="3"/>
  <c r="J25" i="3"/>
  <c r="C105" i="2"/>
  <c r="E105" i="2"/>
  <c r="K22" i="3"/>
  <c r="K23" i="3"/>
  <c r="M115" i="5"/>
  <c r="Q103" i="5"/>
  <c r="K24" i="3"/>
  <c r="K25" i="3"/>
  <c r="L23" i="3"/>
  <c r="L22" i="3"/>
  <c r="Q32" i="5"/>
  <c r="R32" i="5"/>
  <c r="K119" i="2"/>
  <c r="D102" i="2"/>
  <c r="M104" i="5"/>
  <c r="K104" i="5"/>
  <c r="K115" i="5" s="1"/>
  <c r="M70" i="5"/>
  <c r="K70" i="5"/>
  <c r="K28" i="5"/>
  <c r="M28" i="5"/>
  <c r="H64" i="5"/>
  <c r="D94" i="2"/>
  <c r="H110" i="2"/>
  <c r="D110" i="2"/>
  <c r="M87" i="5"/>
  <c r="K87" i="5"/>
  <c r="C102" i="2"/>
  <c r="K116" i="2" s="1"/>
  <c r="E102" i="2"/>
  <c r="M53" i="5"/>
  <c r="K53" i="5"/>
  <c r="M86" i="5"/>
  <c r="K86" i="5"/>
  <c r="H44" i="5"/>
  <c r="R54" i="5"/>
  <c r="Q54" i="5"/>
  <c r="G95" i="5"/>
  <c r="K65" i="5"/>
  <c r="M65" i="5"/>
  <c r="E94" i="2"/>
  <c r="E110" i="2"/>
  <c r="I110" i="2"/>
  <c r="K121" i="2" l="1"/>
  <c r="K120" i="2"/>
  <c r="D13" i="2"/>
  <c r="Q53" i="5"/>
  <c r="R53" i="5"/>
  <c r="J35" i="3"/>
  <c r="J11" i="3"/>
  <c r="N24" i="3"/>
  <c r="N12" i="3" s="1"/>
  <c r="L12" i="3"/>
  <c r="R65" i="5"/>
  <c r="Q65" i="5"/>
  <c r="Q86" i="5"/>
  <c r="R86" i="5"/>
  <c r="Q87" i="5"/>
  <c r="R87" i="5"/>
  <c r="T115" i="5"/>
  <c r="C73" i="2" s="1"/>
  <c r="R104" i="5"/>
  <c r="Q104" i="5"/>
  <c r="K118" i="2"/>
  <c r="L35" i="3"/>
  <c r="N35" i="3" s="1"/>
  <c r="N23" i="3"/>
  <c r="N11" i="3" s="1"/>
  <c r="L11" i="3"/>
  <c r="J37" i="3"/>
  <c r="J13" i="3"/>
  <c r="Q108" i="5"/>
  <c r="R108" i="5"/>
  <c r="M36" i="3"/>
  <c r="M12" i="3"/>
  <c r="Q23" i="5"/>
  <c r="M35" i="3"/>
  <c r="M11" i="3"/>
  <c r="Q85" i="5"/>
  <c r="R85" i="5"/>
  <c r="R107" i="5"/>
  <c r="Q107" i="5"/>
  <c r="R88" i="5"/>
  <c r="Q88" i="5"/>
  <c r="Q25" i="5"/>
  <c r="R25" i="5"/>
  <c r="R50" i="5"/>
  <c r="Q50" i="5"/>
  <c r="R30" i="5"/>
  <c r="Q30" i="5"/>
  <c r="Q68" i="5"/>
  <c r="R68" i="5"/>
  <c r="R48" i="5"/>
  <c r="Q48" i="5"/>
  <c r="Q27" i="5"/>
  <c r="R27" i="5"/>
  <c r="R46" i="5"/>
  <c r="Q46" i="5"/>
  <c r="H55" i="5"/>
  <c r="I44" i="5"/>
  <c r="R51" i="5"/>
  <c r="Q51" i="5"/>
  <c r="M37" i="3"/>
  <c r="M13" i="3"/>
  <c r="R109" i="5"/>
  <c r="Q109" i="5"/>
  <c r="R69" i="5"/>
  <c r="Q69" i="5"/>
  <c r="R26" i="5"/>
  <c r="Q26" i="5"/>
  <c r="Q89" i="5"/>
  <c r="R89" i="5"/>
  <c r="I64" i="5"/>
  <c r="H75" i="5"/>
  <c r="Q70" i="5"/>
  <c r="R70" i="5"/>
  <c r="K117" i="2"/>
  <c r="D14" i="2" s="1"/>
  <c r="K37" i="3"/>
  <c r="K13" i="3"/>
  <c r="S115" i="5"/>
  <c r="K35" i="3"/>
  <c r="K11" i="3"/>
  <c r="J34" i="3"/>
  <c r="J10" i="3"/>
  <c r="L37" i="3"/>
  <c r="N37" i="3" s="1"/>
  <c r="L36" i="3"/>
  <c r="N36" i="3" s="1"/>
  <c r="N25" i="3"/>
  <c r="N13" i="3" s="1"/>
  <c r="L13" i="3"/>
  <c r="M84" i="5"/>
  <c r="K84" i="5"/>
  <c r="K95" i="5" s="1"/>
  <c r="R49" i="5"/>
  <c r="Q49" i="5"/>
  <c r="R110" i="5"/>
  <c r="Q110" i="5"/>
  <c r="Q66" i="5"/>
  <c r="R66" i="5"/>
  <c r="R90" i="5"/>
  <c r="Q90" i="5"/>
  <c r="R45" i="5"/>
  <c r="Q45" i="5"/>
  <c r="Q115" i="5"/>
  <c r="R115" i="5"/>
  <c r="J36" i="3"/>
  <c r="J12" i="3"/>
  <c r="S95" i="5"/>
  <c r="M95" i="5"/>
  <c r="Q83" i="5"/>
  <c r="R28" i="5"/>
  <c r="Q28" i="5"/>
  <c r="N22" i="3"/>
  <c r="N10" i="3" s="1"/>
  <c r="L34" i="3"/>
  <c r="L10" i="3"/>
  <c r="K36" i="3"/>
  <c r="K12" i="3"/>
  <c r="K34" i="3"/>
  <c r="K10" i="3"/>
  <c r="Q43" i="5"/>
  <c r="K35" i="5"/>
  <c r="M34" i="3"/>
  <c r="M10" i="3"/>
  <c r="Q47" i="5"/>
  <c r="R47" i="5"/>
  <c r="R105" i="5"/>
  <c r="Q105" i="5"/>
  <c r="Q106" i="5"/>
  <c r="R106" i="5"/>
  <c r="Q29" i="5"/>
  <c r="R29" i="5"/>
  <c r="K24" i="5"/>
  <c r="M24" i="5"/>
  <c r="M35" i="5" s="1"/>
  <c r="R67" i="5"/>
  <c r="Q67" i="5"/>
  <c r="Q35" i="5" l="1"/>
  <c r="R35" i="5"/>
  <c r="M44" i="5"/>
  <c r="K44" i="5"/>
  <c r="K55" i="5" s="1"/>
  <c r="N34" i="3"/>
  <c r="Z105" i="3"/>
  <c r="V105" i="3"/>
  <c r="R105" i="3"/>
  <c r="N105" i="3"/>
  <c r="J105" i="3"/>
  <c r="F105" i="3"/>
  <c r="Y105" i="3"/>
  <c r="U105" i="3"/>
  <c r="Q105" i="3"/>
  <c r="M105" i="3"/>
  <c r="I105" i="3"/>
  <c r="E105" i="3"/>
  <c r="X105" i="3"/>
  <c r="T105" i="3"/>
  <c r="P105" i="3"/>
  <c r="L105" i="3"/>
  <c r="H105" i="3"/>
  <c r="D105" i="3"/>
  <c r="O105" i="3"/>
  <c r="K105" i="3"/>
  <c r="W105" i="3"/>
  <c r="G105" i="3"/>
  <c r="C105" i="3"/>
  <c r="S105" i="3"/>
  <c r="J9" i="4"/>
  <c r="K9" i="4" s="1"/>
  <c r="H90" i="2"/>
  <c r="E90" i="2"/>
  <c r="I90" i="2"/>
  <c r="D90" i="2"/>
  <c r="G90" i="2"/>
  <c r="C90" i="2"/>
  <c r="Q95" i="5"/>
  <c r="R95" i="5"/>
  <c r="Q84" i="5"/>
  <c r="R84" i="5"/>
  <c r="T95" i="5"/>
  <c r="C72" i="2" s="1"/>
  <c r="K64" i="5"/>
  <c r="K75" i="5" s="1"/>
  <c r="M64" i="5"/>
  <c r="T35" i="5"/>
  <c r="C68" i="2" s="1"/>
  <c r="R24" i="5"/>
  <c r="Q24" i="5"/>
  <c r="S35" i="5"/>
  <c r="Z100" i="3" l="1"/>
  <c r="V100" i="3"/>
  <c r="R100" i="3"/>
  <c r="N100" i="3"/>
  <c r="J100" i="3"/>
  <c r="F100" i="3"/>
  <c r="Y100" i="3"/>
  <c r="U100" i="3"/>
  <c r="Q100" i="3"/>
  <c r="M100" i="3"/>
  <c r="I100" i="3"/>
  <c r="E100" i="3"/>
  <c r="X100" i="3"/>
  <c r="T100" i="3"/>
  <c r="P100" i="3"/>
  <c r="L100" i="3"/>
  <c r="H100" i="3"/>
  <c r="D100" i="3"/>
  <c r="O100" i="3"/>
  <c r="K100" i="3"/>
  <c r="W100" i="3"/>
  <c r="G100" i="3"/>
  <c r="S100" i="3"/>
  <c r="C100" i="3"/>
  <c r="J4" i="4"/>
  <c r="D85" i="2"/>
  <c r="H85" i="2"/>
  <c r="E85" i="2"/>
  <c r="G85" i="2"/>
  <c r="C85" i="2"/>
  <c r="I85" i="2"/>
  <c r="T75" i="5"/>
  <c r="C71" i="2" s="1"/>
  <c r="C80" i="2" s="1"/>
  <c r="R64" i="5"/>
  <c r="Q64" i="5"/>
  <c r="S75" i="5"/>
  <c r="M75" i="5"/>
  <c r="R44" i="5"/>
  <c r="Q44" i="5"/>
  <c r="T55" i="5"/>
  <c r="C69" i="2" s="1"/>
  <c r="S55" i="5"/>
  <c r="M55" i="5"/>
  <c r="W137" i="3"/>
  <c r="S137" i="3"/>
  <c r="O137" i="3"/>
  <c r="K137" i="3"/>
  <c r="G137" i="3"/>
  <c r="C137" i="3"/>
  <c r="Z137" i="3"/>
  <c r="V137" i="3"/>
  <c r="R137" i="3"/>
  <c r="N137" i="3"/>
  <c r="J137" i="3"/>
  <c r="F137" i="3"/>
  <c r="Y137" i="3"/>
  <c r="U137" i="3"/>
  <c r="Q137" i="3"/>
  <c r="M137" i="3"/>
  <c r="I137" i="3"/>
  <c r="E137" i="3"/>
  <c r="P137" i="3"/>
  <c r="L137" i="3"/>
  <c r="X137" i="3"/>
  <c r="H137" i="3"/>
  <c r="T137" i="3"/>
  <c r="D137" i="3"/>
  <c r="G106" i="2"/>
  <c r="H106" i="2"/>
  <c r="I106" i="2"/>
  <c r="K104" i="3"/>
  <c r="F104" i="3"/>
  <c r="U104" i="3"/>
  <c r="X104" i="3"/>
  <c r="O104" i="3"/>
  <c r="J104" i="3"/>
  <c r="M104" i="3"/>
  <c r="G104" i="3"/>
  <c r="N104" i="3"/>
  <c r="W104" i="3"/>
  <c r="Y104" i="3"/>
  <c r="H104" i="3"/>
  <c r="I104" i="3"/>
  <c r="L104" i="3"/>
  <c r="V104" i="3"/>
  <c r="Z104" i="3"/>
  <c r="P104" i="3"/>
  <c r="S104" i="3"/>
  <c r="Q104" i="3"/>
  <c r="T104" i="3"/>
  <c r="R104" i="3"/>
  <c r="C104" i="3"/>
  <c r="J8" i="4"/>
  <c r="K8" i="4" s="1"/>
  <c r="D104" i="3"/>
  <c r="E104" i="3"/>
  <c r="D89" i="2"/>
  <c r="G89" i="2"/>
  <c r="C89" i="2"/>
  <c r="H89" i="2"/>
  <c r="E89" i="2"/>
  <c r="I89" i="2"/>
  <c r="W136" i="3" l="1"/>
  <c r="S136" i="3"/>
  <c r="O136" i="3"/>
  <c r="K136" i="3"/>
  <c r="G136" i="3"/>
  <c r="C136" i="3"/>
  <c r="Z136" i="3"/>
  <c r="V136" i="3"/>
  <c r="R136" i="3"/>
  <c r="N136" i="3"/>
  <c r="J136" i="3"/>
  <c r="F136" i="3"/>
  <c r="Y136" i="3"/>
  <c r="U136" i="3"/>
  <c r="Q136" i="3"/>
  <c r="M136" i="3"/>
  <c r="I136" i="3"/>
  <c r="E136" i="3"/>
  <c r="X136" i="3"/>
  <c r="H136" i="3"/>
  <c r="T136" i="3"/>
  <c r="D136" i="3"/>
  <c r="P136" i="3"/>
  <c r="L136" i="3"/>
  <c r="G105" i="2"/>
  <c r="I105" i="2"/>
  <c r="H105" i="2"/>
  <c r="Z101" i="3"/>
  <c r="V101" i="3"/>
  <c r="R101" i="3"/>
  <c r="N101" i="3"/>
  <c r="J101" i="3"/>
  <c r="F101" i="3"/>
  <c r="Y101" i="3"/>
  <c r="U101" i="3"/>
  <c r="Q101" i="3"/>
  <c r="M101" i="3"/>
  <c r="I101" i="3"/>
  <c r="E101" i="3"/>
  <c r="X101" i="3"/>
  <c r="T101" i="3"/>
  <c r="P101" i="3"/>
  <c r="L101" i="3"/>
  <c r="H101" i="3"/>
  <c r="D101" i="3"/>
  <c r="W101" i="3"/>
  <c r="G101" i="3"/>
  <c r="S101" i="3"/>
  <c r="C101" i="3"/>
  <c r="O101" i="3"/>
  <c r="K101" i="3"/>
  <c r="J5" i="4"/>
  <c r="K5" i="4" s="1"/>
  <c r="H86" i="2"/>
  <c r="C86" i="2"/>
  <c r="E86" i="2"/>
  <c r="D119" i="2" s="1"/>
  <c r="D86" i="2"/>
  <c r="G86" i="2"/>
  <c r="I86" i="2"/>
  <c r="R55" i="5"/>
  <c r="Q55" i="5"/>
  <c r="K4" i="4"/>
  <c r="R75" i="5"/>
  <c r="Q75" i="5"/>
  <c r="Z103" i="3"/>
  <c r="V103" i="3"/>
  <c r="R103" i="3"/>
  <c r="E18" i="3" s="1"/>
  <c r="N103" i="3"/>
  <c r="J103" i="3"/>
  <c r="F103" i="3"/>
  <c r="C18" i="3" s="1"/>
  <c r="Y103" i="3"/>
  <c r="U103" i="3"/>
  <c r="F17" i="3" s="1"/>
  <c r="Q103" i="3"/>
  <c r="M103" i="3"/>
  <c r="I103" i="3"/>
  <c r="D16" i="3" s="1"/>
  <c r="E103" i="3"/>
  <c r="X103" i="3"/>
  <c r="T103" i="3"/>
  <c r="P103" i="3"/>
  <c r="L103" i="3"/>
  <c r="D19" i="3" s="1"/>
  <c r="H103" i="3"/>
  <c r="D103" i="3"/>
  <c r="C16" i="3" s="1"/>
  <c r="O103" i="3"/>
  <c r="E16" i="3" s="1"/>
  <c r="K103" i="3"/>
  <c r="W103" i="3"/>
  <c r="G103" i="3"/>
  <c r="C103" i="3"/>
  <c r="S103" i="3"/>
  <c r="E19" i="3" s="1"/>
  <c r="J7" i="4"/>
  <c r="K7" i="4" s="1"/>
  <c r="D88" i="2"/>
  <c r="H88" i="2"/>
  <c r="G88" i="2"/>
  <c r="F117" i="2" s="1"/>
  <c r="F9" i="2" s="1"/>
  <c r="E88" i="2"/>
  <c r="I88" i="2"/>
  <c r="C88" i="2"/>
  <c r="D117" i="2" s="1"/>
  <c r="D9" i="2" s="1"/>
  <c r="C17" i="3"/>
  <c r="F18" i="3"/>
  <c r="F19" i="3"/>
  <c r="C28" i="3" l="1"/>
  <c r="J4" i="3"/>
  <c r="C4" i="3"/>
  <c r="C30" i="3"/>
  <c r="J6" i="3"/>
  <c r="C6" i="3"/>
  <c r="E31" i="3"/>
  <c r="G19" i="3"/>
  <c r="G7" i="3" s="1"/>
  <c r="L7" i="3"/>
  <c r="E7" i="3"/>
  <c r="F29" i="3"/>
  <c r="M5" i="3"/>
  <c r="F5" i="3"/>
  <c r="E28" i="3"/>
  <c r="I36" i="6"/>
  <c r="L4" i="3"/>
  <c r="E4" i="3"/>
  <c r="D28" i="3"/>
  <c r="I38" i="6"/>
  <c r="K4" i="3"/>
  <c r="D4" i="3"/>
  <c r="G18" i="3"/>
  <c r="G6" i="3" s="1"/>
  <c r="E30" i="3"/>
  <c r="L6" i="3"/>
  <c r="E6" i="3"/>
  <c r="D31" i="3"/>
  <c r="K7" i="3"/>
  <c r="D7" i="3"/>
  <c r="C29" i="3"/>
  <c r="J5" i="3"/>
  <c r="C5" i="3"/>
  <c r="F31" i="3"/>
  <c r="M7" i="3"/>
  <c r="F7" i="3"/>
  <c r="J17" i="4"/>
  <c r="F118" i="2"/>
  <c r="E17" i="3"/>
  <c r="D116" i="2"/>
  <c r="D18" i="3"/>
  <c r="W133" i="3"/>
  <c r="S133" i="3"/>
  <c r="O133" i="3"/>
  <c r="K133" i="3"/>
  <c r="G133" i="3"/>
  <c r="C133" i="3"/>
  <c r="Z133" i="3"/>
  <c r="V133" i="3"/>
  <c r="R133" i="3"/>
  <c r="N133" i="3"/>
  <c r="J133" i="3"/>
  <c r="F133" i="3"/>
  <c r="Y133" i="3"/>
  <c r="U133" i="3"/>
  <c r="Q133" i="3"/>
  <c r="M133" i="3"/>
  <c r="I133" i="3"/>
  <c r="E133" i="3"/>
  <c r="X133" i="3"/>
  <c r="H133" i="3"/>
  <c r="T133" i="3"/>
  <c r="D133" i="3"/>
  <c r="P133" i="3"/>
  <c r="L133" i="3"/>
  <c r="H102" i="2"/>
  <c r="I102" i="2"/>
  <c r="G102" i="2"/>
  <c r="F30" i="3"/>
  <c r="M6" i="3"/>
  <c r="F6" i="3"/>
  <c r="C19" i="3"/>
  <c r="W132" i="3"/>
  <c r="S132" i="3"/>
  <c r="O132" i="3"/>
  <c r="K132" i="3"/>
  <c r="G132" i="3"/>
  <c r="C132" i="3"/>
  <c r="Z132" i="3"/>
  <c r="V132" i="3"/>
  <c r="R132" i="3"/>
  <c r="N132" i="3"/>
  <c r="J132" i="3"/>
  <c r="F132" i="3"/>
  <c r="Y132" i="3"/>
  <c r="U132" i="3"/>
  <c r="Q132" i="3"/>
  <c r="M132" i="3"/>
  <c r="I132" i="3"/>
  <c r="E132" i="3"/>
  <c r="P132" i="3"/>
  <c r="L132" i="3"/>
  <c r="X132" i="3"/>
  <c r="H132" i="3"/>
  <c r="T132" i="3"/>
  <c r="D132" i="3"/>
  <c r="K16" i="4"/>
  <c r="K17" i="4"/>
  <c r="I101" i="2"/>
  <c r="H101" i="2"/>
  <c r="G101" i="2"/>
  <c r="F119" i="2"/>
  <c r="D118" i="2"/>
  <c r="W135" i="3"/>
  <c r="S135" i="3"/>
  <c r="O135" i="3"/>
  <c r="K135" i="3"/>
  <c r="G135" i="3"/>
  <c r="C135" i="3"/>
  <c r="Z135" i="3"/>
  <c r="V135" i="3"/>
  <c r="R135" i="3"/>
  <c r="N135" i="3"/>
  <c r="J135" i="3"/>
  <c r="F135" i="3"/>
  <c r="Y135" i="3"/>
  <c r="U135" i="3"/>
  <c r="Q135" i="3"/>
  <c r="M135" i="3"/>
  <c r="I135" i="3"/>
  <c r="E135" i="3"/>
  <c r="P135" i="3"/>
  <c r="L135" i="3"/>
  <c r="X135" i="3"/>
  <c r="H135" i="3"/>
  <c r="T135" i="3"/>
  <c r="D135" i="3"/>
  <c r="G104" i="2"/>
  <c r="H104" i="2"/>
  <c r="I104" i="2"/>
  <c r="F116" i="2"/>
  <c r="D17" i="3"/>
  <c r="F16" i="3"/>
  <c r="J16" i="4"/>
  <c r="F28" i="3" l="1"/>
  <c r="I37" i="6"/>
  <c r="M4" i="3"/>
  <c r="F4" i="3"/>
  <c r="P119" i="2"/>
  <c r="P116" i="2"/>
  <c r="P118" i="2"/>
  <c r="P117" i="2"/>
  <c r="F14" i="2" s="1"/>
  <c r="F25" i="3"/>
  <c r="F24" i="3"/>
  <c r="D22" i="3"/>
  <c r="D23" i="3"/>
  <c r="E25" i="3"/>
  <c r="E24" i="3"/>
  <c r="D30" i="3"/>
  <c r="K6" i="3"/>
  <c r="D6" i="3"/>
  <c r="G30" i="3"/>
  <c r="I40" i="6"/>
  <c r="D29" i="3"/>
  <c r="K5" i="3"/>
  <c r="D5" i="3"/>
  <c r="D25" i="3"/>
  <c r="D24" i="3"/>
  <c r="C24" i="3"/>
  <c r="C31" i="3"/>
  <c r="J7" i="3"/>
  <c r="C7" i="3"/>
  <c r="D121" i="2"/>
  <c r="I9" i="1" s="1"/>
  <c r="D120" i="2"/>
  <c r="D8" i="2"/>
  <c r="I11" i="1" s="1"/>
  <c r="G16" i="3"/>
  <c r="G4" i="3" s="1"/>
  <c r="G31" i="3"/>
  <c r="F121" i="2"/>
  <c r="F120" i="2"/>
  <c r="F8" i="2"/>
  <c r="E22" i="3"/>
  <c r="E23" i="3"/>
  <c r="G17" i="3"/>
  <c r="G5" i="3" s="1"/>
  <c r="E29" i="3"/>
  <c r="G29" i="3" s="1"/>
  <c r="L5" i="3"/>
  <c r="N5" i="3" s="1"/>
  <c r="E5" i="3"/>
  <c r="G28" i="3"/>
  <c r="D9" i="1" s="1"/>
  <c r="F22" i="3"/>
  <c r="F23" i="3"/>
  <c r="C25" i="3"/>
  <c r="C23" i="3"/>
  <c r="C22" i="3"/>
  <c r="N6" i="3"/>
  <c r="N4" i="3"/>
  <c r="D11" i="1" s="1"/>
  <c r="N7" i="3"/>
  <c r="F35" i="3" l="1"/>
  <c r="F11" i="3"/>
  <c r="E34" i="3"/>
  <c r="G22" i="3"/>
  <c r="E10" i="3"/>
  <c r="C34" i="3"/>
  <c r="C10" i="3"/>
  <c r="F34" i="3"/>
  <c r="F10" i="3"/>
  <c r="D36" i="3"/>
  <c r="D12" i="3"/>
  <c r="D35" i="3"/>
  <c r="D11" i="3"/>
  <c r="C35" i="3"/>
  <c r="C11" i="3"/>
  <c r="D37" i="3"/>
  <c r="D13" i="3"/>
  <c r="D34" i="3"/>
  <c r="D10" i="3"/>
  <c r="C37" i="3"/>
  <c r="C13" i="3"/>
  <c r="G23" i="3"/>
  <c r="E35" i="3"/>
  <c r="E11" i="3"/>
  <c r="E36" i="3"/>
  <c r="G24" i="3"/>
  <c r="E12" i="3"/>
  <c r="F36" i="3"/>
  <c r="F12" i="3"/>
  <c r="P121" i="2"/>
  <c r="I10" i="1" s="1"/>
  <c r="P120" i="2"/>
  <c r="F13" i="2"/>
  <c r="C36" i="3"/>
  <c r="C12" i="3"/>
  <c r="G25" i="3"/>
  <c r="E37" i="3"/>
  <c r="E13" i="3"/>
  <c r="F37" i="3"/>
  <c r="F13" i="3"/>
  <c r="G37" i="3" l="1"/>
  <c r="G13" i="3"/>
  <c r="G34" i="3"/>
  <c r="D10" i="1" s="1"/>
  <c r="G10" i="3"/>
  <c r="G36" i="3"/>
  <c r="G12" i="3"/>
  <c r="G35" i="3"/>
  <c r="G11" i="3"/>
</calcChain>
</file>

<file path=xl/comments1.xml><?xml version="1.0" encoding="utf-8"?>
<comments xmlns="http://schemas.openxmlformats.org/spreadsheetml/2006/main">
  <authors>
    <author>Author</author>
  </authors>
  <commentList>
    <comment ref="B11" authorId="0">
      <text>
        <r>
          <rPr>
            <sz val="10"/>
            <color rgb="FF000000"/>
            <rFont val="Arial"/>
          </rPr>
          <t>Doesn't include morbidity equivalent deaths</t>
        </r>
      </text>
    </comment>
    <comment ref="G11" authorId="0">
      <text>
        <r>
          <rPr>
            <sz val="10"/>
            <color rgb="FF000000"/>
            <rFont val="Arial"/>
          </rPr>
          <t>Doesn't include morbidity equivalent deaths</t>
        </r>
      </text>
    </comment>
  </commentList>
</comments>
</file>

<file path=xl/comments2.xml><?xml version="1.0" encoding="utf-8"?>
<comments xmlns="http://schemas.openxmlformats.org/spreadsheetml/2006/main">
  <authors>
    <author>Author</author>
  </authors>
  <commentList>
    <comment ref="G18" authorId="0">
      <text>
        <r>
          <rPr>
            <sz val="10"/>
            <color rgb="FF000000"/>
            <rFont val="Arial"/>
          </rPr>
          <t>Coverage rates are from the national estimates in the National Family Health Survey 4:
http://rchiips.org/nfhs/pdf/NFHS4/India.pdf
NFHS4 vaccination estimates documented in India State Vaccination Rates spreadsheet:
https://docs.google.com/spreadsheets/d/10wIVInItjScsAvquBR6U9gAhRIxo_J7mYY5ZJ7Yi2pg/edit
Shared version:
https://drive.google.com/open?id=19_qcKH8ZgNXtE_tJqg4t27i42z0FchntixDlrvHvD0c
WHO India 2015 estimates - http://apps.who.int/immunization_monitoring/globalsummary/estimates?c=IND</t>
        </r>
      </text>
    </comment>
    <comment ref="M18" authorId="0">
      <text>
        <r>
          <rPr>
            <sz val="10"/>
            <color rgb="FF000000"/>
            <rFont val="Arial"/>
          </rPr>
          <t>Coverage rates are from Indian Rapid Survey On Children (RSOC) unless otherwise noted.
RSOC vaccination estimates documented in India State Vaccination Rates spreadsheet:
https://docs.google.com/spreadsheets/d/10wIVInItjScsAvquBR6U9gAhRIxo_J7mYY5ZJ7Yi2pg/edit
Shared version:
https://drive.google.com/open?id=19_qcKH8ZgNXtE_tJqg4t27i42z0FchntixDlrvHvD0c
WHO India 2015 estimates - http://apps.who.int/immunization_monitoring/globalsummary/estimates?c=IND</t>
        </r>
      </text>
    </comment>
    <comment ref="A19" authorId="0">
      <text>
        <r>
          <rPr>
            <sz val="10"/>
            <color rgb="FF000000"/>
            <rFont val="Arial"/>
          </rPr>
          <t>DPT is now given as part of a pentavalent vaccine that contains diphtheria, pertussis, tetanus, haemophilus influenzae type B, and hepatitis B vaccines.
http://www.gavi.org/progress-report/
Bar-On et al. 2011 (Cochrane Review) found low quality evidence and drew no conclusions on efficacy differences between DPT-HepB-Hip vaccines versus DPT-HepB and Hib taken separately
https://www.ncbi.nlm.nih.gov/pubmed/22513932</t>
        </r>
      </text>
    </comment>
    <comment ref="C19" authorId="0">
      <text>
        <r>
          <rPr>
            <sz val="10"/>
            <color rgb="FF000000"/>
            <rFont val="Arial"/>
          </rPr>
          <t>Efficacy and distribution of efficacy from GW "Incentives for immunization CEA 03-16-16" spreadsheet, Summary tab</t>
        </r>
      </text>
    </comment>
    <comment ref="G19" authorId="0">
      <text>
        <r>
          <rPr>
            <sz val="10"/>
            <color rgb="FF000000"/>
            <rFont val="Arial"/>
          </rPr>
          <t>Weighted estimate using the decline from DPT1 to DPT3 in the WHO's estimates of national coverage.</t>
        </r>
      </text>
    </comment>
    <comment ref="H19" authorId="0">
      <text>
        <r>
          <rPr>
            <sz val="10"/>
            <color rgb="FF000000"/>
            <rFont val="Arial"/>
          </rPr>
          <t>Midway between DPT1 and DPT3 estimate.</t>
        </r>
      </text>
    </comment>
    <comment ref="M19" authorId="0">
      <text>
        <r>
          <rPr>
            <sz val="10"/>
            <color rgb="FF000000"/>
            <rFont val="Arial"/>
          </rPr>
          <t>Weighted estiamte based on the difference of WHO DPT1 and DPT2 coverage</t>
        </r>
      </text>
    </comment>
    <comment ref="Q19" authorId="0">
      <text>
        <r>
          <rPr>
            <sz val="10"/>
            <color rgb="FF000000"/>
            <rFont val="Arial"/>
          </rPr>
          <t>Estimate which is midpoint of dose 1 and dose 3</t>
        </r>
      </text>
    </comment>
    <comment ref="C20" authorId="0">
      <text>
        <r>
          <rPr>
            <sz val="10"/>
            <color rgb="FF000000"/>
            <rFont val="Arial"/>
          </rPr>
          <t>Efficacy and distribution of efficacy uses pertussis estimates from GW "Incentives for immunization CEA 03-16-16" spreadsheet, Summary tab</t>
        </r>
      </text>
    </comment>
    <comment ref="C21" authorId="0">
      <text>
        <r>
          <rPr>
            <sz val="10"/>
            <color rgb="FF000000"/>
            <rFont val="Arial"/>
          </rPr>
          <t>Efficacy and distribution of efficacy from GW "Incentives for immunization CEA 03-16-16" spreadsheet, Summary tab</t>
        </r>
      </text>
    </comment>
    <comment ref="C22" authorId="0">
      <text>
        <r>
          <rPr>
            <sz val="10"/>
            <color rgb="FF000000"/>
            <rFont val="Arial"/>
          </rPr>
          <t>GiveWell "Incentives for immunization CEA 03-16-16" spreadsheet, Summary tab</t>
        </r>
      </text>
    </comment>
    <comment ref="D22" authorId="0">
      <text>
        <r>
          <rPr>
            <sz val="10"/>
            <color rgb="FF000000"/>
            <rFont val="Arial"/>
          </rPr>
          <t>Based on difference in total efficacy between one dose and two doses of MCV in Wichmann et al. 2007, a trial in Germany.
Our estimate of the efficacy of dose 1 is used as an anchor to estimate total efficacy.
Wichmann et al. 2007 - Large measles outbreak at a German public school, 2006. - https://www.ncbi.nlm.nih.gov/pubmed/17721371</t>
        </r>
      </text>
    </comment>
    <comment ref="H22" authorId="0">
      <text>
        <r>
          <rPr>
            <sz val="10"/>
            <color rgb="FF000000"/>
            <rFont val="Arial"/>
          </rPr>
          <t>Estimate weighted based on difference between WHO Measles 1 and Measles 2 coverage estimates</t>
        </r>
      </text>
    </comment>
    <comment ref="N22" authorId="0">
      <text>
        <r>
          <rPr>
            <sz val="10"/>
            <color rgb="FF000000"/>
            <rFont val="Arial"/>
          </rPr>
          <t>Estimate weighted based on difference between WHO Measles 1 and Measles 2 coverage estimates</t>
        </r>
      </text>
    </comment>
    <comment ref="A23" authorId="0">
      <text>
        <r>
          <rPr>
            <sz val="10"/>
            <color rgb="FF000000"/>
            <rFont val="Arial"/>
          </rPr>
          <t>Hib is now given as part of a pentavalent vaccine that contains diphtheria, pertussis, tetanus, haemophilus influenzae type B, and hepatitis B vaccines.
http://www.gavi.org/progress-report/</t>
        </r>
      </text>
    </comment>
    <comment ref="C23" authorId="0">
      <text>
        <r>
          <rPr>
            <sz val="10"/>
            <color rgb="FF000000"/>
            <rFont val="Arial"/>
          </rPr>
          <t>Distribution of dose efficacy and total efficacy from Gupta et al. 2013, Cost-effectiveness of Haemophilus influenzae type b (Hib) vaccine introduction in the universal immunization schedule in Haryana State, India
http://heapol.oxfordjournals.org/content/28/1/51.long</t>
        </r>
      </text>
    </comment>
    <comment ref="G23" authorId="0">
      <text>
        <r>
          <rPr>
            <sz val="10"/>
            <color rgb="FF000000"/>
            <rFont val="Arial"/>
          </rPr>
          <t>Assumes that Hib coverage in the future would be exactly like DPT coverage because of both of them being a part of the newly released pentavalent vaccine.
WHO estimates current Hib3 at 45%.</t>
        </r>
      </text>
    </comment>
    <comment ref="M23" authorId="0">
      <text>
        <r>
          <rPr>
            <sz val="10"/>
            <color rgb="FF000000"/>
            <rFont val="Arial"/>
          </rPr>
          <t>Assumes that Hib coverage in the future would be exactly like DPT coverage because of both of them being a part of the newly released pentavalent vaccine.
WHO estimates current Hib3 at 45%.</t>
        </r>
      </text>
    </comment>
    <comment ref="P23" authorId="0">
      <text>
        <r>
          <rPr>
            <sz val="10"/>
            <color rgb="FF000000"/>
            <rFont val="Arial"/>
          </rPr>
          <t>Estimate assuming Hib dose 3 is the same proportion of Hib dose 1 as DPT dose 3 is of DPT dose 1 (97%).
This could be wrong for many reasons. This estimate was created to help estimate the unvaccinated Hib death rate.</t>
        </r>
      </text>
    </comment>
    <comment ref="Q23" authorId="0">
      <text>
        <r>
          <rPr>
            <sz val="10"/>
            <color rgb="FF000000"/>
            <rFont val="Arial"/>
          </rPr>
          <t>Estimate which is midpoint of dose 1 and dose 3</t>
        </r>
      </text>
    </comment>
    <comment ref="A25" authorId="0">
      <text>
        <r>
          <rPr>
            <sz val="10"/>
            <color rgb="FF000000"/>
            <rFont val="Arial"/>
          </rPr>
          <t>Hep B is now given as part of a pentavalent vaccine that contains diphtheria, pertussis, tetanus, haemophilus influenzae type B, and hepatitis B vaccines.
http://www.gavi.org/progress-report/</t>
        </r>
      </text>
    </comment>
    <comment ref="C25" authorId="0">
      <text>
        <r>
          <rPr>
            <sz val="10"/>
            <color rgb="FF000000"/>
            <rFont val="Arial"/>
          </rPr>
          <t xml:space="preserve">Distribution of dose efficacy and total efficacy from Goldstein et al. 2005, - A mathematical model to estimate global hepatitis B disease burden and vaccination impact: http://ije.oxfordjournals.org/content/34/6/1329.full </t>
        </r>
      </text>
    </comment>
    <comment ref="G25" authorId="0">
      <text>
        <r>
          <rPr>
            <sz val="10"/>
            <color rgb="FF000000"/>
            <rFont val="Arial"/>
          </rPr>
          <t>Assumes that HepB coverage in the future would be exactly like DPT coverage because of both of them being a part of the newly released pentavalent vaccine</t>
        </r>
      </text>
    </comment>
    <comment ref="M25" authorId="0">
      <text>
        <r>
          <rPr>
            <sz val="10"/>
            <color rgb="FF000000"/>
            <rFont val="Arial"/>
          </rPr>
          <t>Assumes that HepB coverage in the future would be exactly like DPT coverage because of both of them being a part of the newly released pentavalent vaccine</t>
        </r>
      </text>
    </comment>
    <comment ref="P25" authorId="0">
      <text>
        <r>
          <rPr>
            <sz val="10"/>
            <color rgb="FF000000"/>
            <rFont val="Arial"/>
          </rPr>
          <t>Estimated to be equal to DPT1 as DPT3 is equal to HepB3</t>
        </r>
      </text>
    </comment>
    <comment ref="Q25" authorId="0">
      <text>
        <r>
          <rPr>
            <sz val="10"/>
            <color rgb="FF000000"/>
            <rFont val="Arial"/>
          </rPr>
          <t>Estimated to be equal to our estimate for DPT2</t>
        </r>
      </text>
    </comment>
    <comment ref="C26" authorId="0">
      <text>
        <r>
          <rPr>
            <sz val="10"/>
            <color rgb="FF000000"/>
            <rFont val="Arial"/>
          </rPr>
          <t>Efficacy at 15 months based on Yadav et al 2003 - Comparative evaluation of measles, mumps &amp; rubella vaccine at 9 &amp; 15 months of age - https://www.ncbi.nlm.nih.gov/pubmed/14723482
Notes
-----
As of 2-28-17, a measles-rubella vaccination drive is underway in India. At the conclusion of this drive, this measles-rubella vaccine is scheduled to be introduced nationwide. Some states already use it as part of MMR under UIP at 15 months, this estimate is for that dose.</t>
        </r>
      </text>
    </comment>
    <comment ref="C27" authorId="0">
      <text>
        <r>
          <rPr>
            <sz val="10"/>
            <color rgb="FF000000"/>
            <rFont val="Arial"/>
          </rPr>
          <t>Distribution of dose efficacy is an estimate derived from applying the percentage of efficacy from each shot from the pertussis distribution borrowed from GiveWell.
Efficacy of Rotavac vaccine based on John et al. 2014, Rotavirus gastroenteritis in India, 2011–2013: Revised estimates of disease burden and potential impact of vaccines
http://www.sciencedirect.com/science/article/pii/S0264410X14003429
Bhandari et al. 2014, Efficacy of a monovalent human-bovine (116E) rotavirus vaccine in Indian infants, http://www.ncbi.nlm.nih.gov/pubmed/25091663</t>
        </r>
      </text>
    </comment>
    <comment ref="C28" authorId="0">
      <text>
        <r>
          <rPr>
            <sz val="10"/>
            <color rgb="FF000000"/>
            <rFont val="Arial"/>
          </rPr>
          <t>Total efficacy, 58% (CI 29-75%), based on Lucero et al. 2009, a Cochrane review, estimate of efficacy in HIV-negative population against all serotypes-IPD using trials on PCV7, PCV9, PCV11.
Distribution of dose efficacy from 
Ruckinger et al. 2009
Notes
--------
None of the trials in Lucero et al. were conducted in India and the most common types of pneumococcal disease varies worldwide so may not be directly applicable to India (Sniadack et al. 1995). Also, some of the trials were begun with children 12 months old. Unclear which specific PCV vaccine will be used by UIP in India, though it is a PCV-13.
Efficacy distribution taken from single trial in Germany on PCV7.
Lucero et al. 2009 - Pneumococcal conjugate vaccines for preventing vaccine-type invasive pneumococcal disease and X-ray defined pneumonia in children less than two years of age.
http://onlinelibrary.wiley.com/doi/10.1002/14651858.CD004977.pub2/full
Sniadack et al. 1995 - Potential interventions for the prevention of childhood pneumonia: geographic and temporal differences in serotype and serogroup distribution of sterile site pneumococcal isolates from children--implications for vaccine strategies. - 
https://www.ncbi.nlm.nih.gov/pubmed/7667055
Ruckinger et al. 2009 - Efficacy of 7-valent pneumococcal conjugate vaccination in Germany: An analysis using the indirect cohort method. - https://www.ncbi.nlm.nih.gov/pubmed/20546832
Pneumococcal conjugate vaccine: A newer vaccine available in India - http://www.tandfonline.com/doi/full/10.4161/hv.20654?scroll=top&amp;needAccess=true</t>
        </r>
      </text>
    </comment>
    <comment ref="C30" authorId="0">
      <text>
        <r>
          <rPr>
            <sz val="10"/>
            <color rgb="FF000000"/>
            <rFont val="Arial"/>
          </rPr>
          <t>Efficacy based on Sur et al. 2009 based in Kolkata, India.
Notes
------
Sur et al. 2009 estimated a indirect protection of 44%, though this estimate has been directly challenged in a letter to editor also published in NEJM.
Fraser et al. cited a trial with 55% efficacy outside of India.
Sur et al - A cluster-randomized effectiveness trial of Vi typhoid vaccine in India. - https://www.ncbi.nlm.nih.gov/pubmed/19625715
Schwartz 2009 - https://www.ncbi.nlm.nih.gov/pubmed/19950412
Fraser et al. 2007 - Typhoid fever vaccines: Systematic review and meta-analysis of randomised controlled trials -
https://www.ncbi.nlm.nih.gov/pubmed/17928109</t>
        </r>
      </text>
    </comment>
    <comment ref="A31" authorId="0">
      <text>
        <r>
          <rPr>
            <sz val="10"/>
            <color rgb="FF000000"/>
            <rFont val="Arial"/>
          </rPr>
          <t>Vitamin A doses are included alongside the UIP immunization schedule at 9 months, 15-18 months, and 2-5 years</t>
        </r>
      </text>
    </comment>
    <comment ref="C37" authorId="0">
      <text>
        <r>
          <rPr>
            <sz val="10"/>
            <color rgb="FF000000"/>
            <rFont val="Arial"/>
          </rPr>
          <t>This is the most conservative of all estimates calculated for the proportion of the gap closed by SMS in 'Study Results - Gap Reduced' tab.
Currently, this is the weighted average of the 3rd shot in the DPT dose series compared with the control group of each study.</t>
        </r>
      </text>
    </comment>
    <comment ref="A42" authorId="0">
      <text>
        <r>
          <rPr>
            <sz val="10"/>
            <color rgb="FF000000"/>
            <rFont val="Arial"/>
          </rPr>
          <t>Uncertainty about the effect of PCV 13 on the strains affecting India</t>
        </r>
      </text>
    </comment>
    <comment ref="C43" authorId="0">
      <text>
        <r>
          <rPr>
            <sz val="10"/>
            <color rgb="FF000000"/>
            <rFont val="Arial"/>
          </rPr>
          <t>Deaths prevented by tetanus discounted by 80% due to potential protective effects of prenatal vaccination (and those for children ages 11 and 16).
~90% of mothers in India receive 2 doses of TT before birth according to the NFHS4 and the RSOC.
NFHS4:
http://rchiips.org/nfhs/pdf/NFHS4/India.pdf
RSOC - http://wcd.nic.in/sites/default/files/India%20fact%20sheet.pdf</t>
        </r>
      </text>
    </comment>
    <comment ref="C57" authorId="0">
      <text>
        <r>
          <rPr>
            <sz val="10"/>
            <color rgb="FF000000"/>
            <rFont val="Arial"/>
          </rPr>
          <t>No estimates for Rotavirus coverage available. This assumes the increase equivalent to measles. Newer vaccines may not have as high an uptake as more established vaccines.
This could be wrong for several reasons, most notably because the lower vaccination rate may mean more potential gap can be covered and the potential of a sustained campaign upon the introduction of the vaccine actually making the vaccination rate higher than other vaccines.</t>
        </r>
      </text>
    </comment>
    <comment ref="C58" authorId="0">
      <text>
        <r>
          <rPr>
            <sz val="10"/>
            <color rgb="FF000000"/>
            <rFont val="Arial"/>
          </rPr>
          <t>No estimates for PCV coverage available. Given the vaccine is new, this assumes the increase equivalent to measles. Newer vaccines may not have as high an uptake as more established vaccines.
This could be wrong for several reasons, most notably because the lower vaccination rate may mean more potential gap can be covered and the potential of a sustained campaign upon the introduction of the vaccine actually making the vaccination rate higher than other vaccines.</t>
        </r>
      </text>
    </comment>
    <comment ref="C60" authorId="0">
      <text>
        <r>
          <rPr>
            <sz val="10"/>
            <color rgb="FF000000"/>
            <rFont val="Arial"/>
          </rPr>
          <t>No national estimates for Typhoid coverage available. This assumes the increase equivalent to measles.
This could be wrong for several reasons.</t>
        </r>
      </text>
    </comment>
    <comment ref="A63" authorId="0">
      <text>
        <r>
          <rPr>
            <sz val="10"/>
            <color rgb="FF000000"/>
            <rFont val="Arial"/>
          </rPr>
          <t>Studies evidence is analyzed in the 'Study Results - Gap Reduced' tab
Summary of studies:
https://docs.google.com/spreadsheets/d/1SVCk3bIDo2Pb7VfojTbvC0L8_d6SSgD2cXGlre4AUI0/edit#gid=0</t>
        </r>
      </text>
    </comment>
    <comment ref="A74" authorId="0">
      <text>
        <r>
          <rPr>
            <sz val="10"/>
            <color rgb="FF000000"/>
            <rFont val="Arial"/>
          </rPr>
          <t>Unable to locate good estimate of rubella non-prenatal fatality rate in India</t>
        </r>
      </text>
    </comment>
    <comment ref="A83" authorId="0">
      <text>
        <r>
          <rPr>
            <sz val="10"/>
            <color rgb="FF000000"/>
            <rFont val="Arial"/>
          </rPr>
          <t>Typhoid excluded from all national estimates which is only incorporated in UIP in Delhi</t>
        </r>
      </text>
    </comment>
  </commentList>
</comments>
</file>

<file path=xl/comments3.xml><?xml version="1.0" encoding="utf-8"?>
<comments xmlns="http://schemas.openxmlformats.org/spreadsheetml/2006/main">
  <authors>
    <author>Author</author>
  </authors>
  <commentList>
    <comment ref="B2" authorId="0">
      <text>
        <r>
          <rPr>
            <sz val="10"/>
            <color rgb="FF000000"/>
            <rFont val="Arial"/>
          </rPr>
          <t>Estimate is an average of costs for RFP and hospital outreach at scale</t>
        </r>
      </text>
    </comment>
    <comment ref="A3" authorId="0">
      <text>
        <r>
          <rPr>
            <sz val="10"/>
            <color rgb="FF000000"/>
            <rFont val="Arial"/>
          </rPr>
          <t>All estimates are very rough due to a lack of data on vaccinations other than Measles 1 and DPT 3 at the state level.
The estimated Measles 1 increase in vaccination was used for rotavirus, PCV, and typhoid because of a lack of vaccination coverage data for these vaccines.</t>
        </r>
      </text>
    </comment>
    <comment ref="C3" authorId="0">
      <text>
        <r>
          <rPr>
            <sz val="10"/>
            <color rgb="FF000000"/>
            <rFont val="Arial"/>
          </rPr>
          <t>Includes Typhoid</t>
        </r>
      </text>
    </comment>
    <comment ref="F3" authorId="0">
      <text>
        <r>
          <rPr>
            <sz val="10"/>
            <color rgb="FF000000"/>
            <rFont val="Arial"/>
          </rPr>
          <t>Rotavirus is scheduled to be rolled out in March 2017.
Rajasthan is also on the first set of five states to implement PCV.</t>
        </r>
      </text>
    </comment>
    <comment ref="I3" authorId="0">
      <text>
        <r>
          <rPr>
            <sz val="10"/>
            <color rgb="FF000000"/>
            <rFont val="Arial"/>
          </rPr>
          <t>All estimates are very rough due to a lack of data on vaccinations other than Measles 1 and DPT 3 at the state level.
The estimated Measles 1 increase in vaccination was used for rotavirus, PCV, and typhoid because of a lack of vaccination coverage data for these vaccines.</t>
        </r>
      </text>
    </comment>
    <comment ref="J3" authorId="0">
      <text>
        <r>
          <rPr>
            <sz val="10"/>
            <color rgb="FF000000"/>
            <rFont val="Arial"/>
          </rPr>
          <t>Includes Typhoid</t>
        </r>
      </text>
    </comment>
    <comment ref="M3" authorId="0">
      <text>
        <r>
          <rPr>
            <sz val="10"/>
            <color rgb="FF000000"/>
            <rFont val="Arial"/>
          </rPr>
          <t>Rotavirus is scheduled to be rolled out in March 2017.
Rajasthan is also on the first set of five states to implement PCV.</t>
        </r>
      </text>
    </comment>
    <comment ref="A9" authorId="0">
      <text>
        <r>
          <rPr>
            <sz val="10"/>
            <color rgb="FF000000"/>
            <rFont val="Arial"/>
          </rPr>
          <t>All estimates are very rough due to a lack of data on vaccinations other than Measles 1 and DPT 3 at the state level.
As a general rule, these estimates will decrease the variance between different states as a flat increase was applied for all vaccines for which no coverage estimates were used (rotavirus, PCV, rubella, typhoid).</t>
        </r>
      </text>
    </comment>
    <comment ref="C9" authorId="0">
      <text>
        <r>
          <rPr>
            <sz val="10"/>
            <color rgb="FF000000"/>
            <rFont val="Arial"/>
          </rPr>
          <t>Includes Typhoid</t>
        </r>
      </text>
    </comment>
    <comment ref="F9" authorId="0">
      <text>
        <r>
          <rPr>
            <sz val="10"/>
            <color rgb="FF000000"/>
            <rFont val="Arial"/>
          </rPr>
          <t>Rotavirus is scheduled to be rolled out in March 2017.
Rajasthan is also on the first set of five states to implement PCV.</t>
        </r>
      </text>
    </comment>
    <comment ref="I9" authorId="0">
      <text>
        <r>
          <rPr>
            <sz val="10"/>
            <color rgb="FF000000"/>
            <rFont val="Arial"/>
          </rPr>
          <t>All estimates are very rough due to a lack of data on vaccinations other than Measles 1 and DPT 3 at the state level.
The estimated Measles 1 increase in vaccination was used for rotavirus, PCV, and typhoid because of a lack of vaccination coverage data for these vaccines.</t>
        </r>
      </text>
    </comment>
    <comment ref="J9" authorId="0">
      <text>
        <r>
          <rPr>
            <sz val="10"/>
            <color rgb="FF000000"/>
            <rFont val="Arial"/>
          </rPr>
          <t>Includes Typhoid</t>
        </r>
      </text>
    </comment>
    <comment ref="M9" authorId="0">
      <text>
        <r>
          <rPr>
            <sz val="10"/>
            <color rgb="FF000000"/>
            <rFont val="Arial"/>
          </rPr>
          <t>Rotavirus is scheduled to be rolled out in March 2017.
Rajasthan is also on the first set of five states to implement PCV.</t>
        </r>
      </text>
    </comment>
    <comment ref="C15" authorId="0">
      <text>
        <r>
          <rPr>
            <sz val="10"/>
            <color rgb="FF000000"/>
            <rFont val="Arial"/>
          </rPr>
          <t>Includes Typhoid</t>
        </r>
      </text>
    </comment>
    <comment ref="F15" authorId="0">
      <text>
        <r>
          <rPr>
            <sz val="10"/>
            <color rgb="FF000000"/>
            <rFont val="Arial"/>
          </rPr>
          <t>Rotavirus is scheduled to be rolled out in March 2017.
Rajasthan is also on the first set of five states to implement PCV.</t>
        </r>
      </text>
    </comment>
    <comment ref="C21" authorId="0">
      <text>
        <r>
          <rPr>
            <sz val="10"/>
            <color rgb="FF000000"/>
            <rFont val="Arial"/>
          </rPr>
          <t>Includes Typhoid</t>
        </r>
      </text>
    </comment>
    <comment ref="F21" authorId="0">
      <text>
        <r>
          <rPr>
            <sz val="10"/>
            <color rgb="FF000000"/>
            <rFont val="Arial"/>
          </rPr>
          <t>Rotavirus is scheduled to be rolled out in March 2017.
Rajasthan is also on the first set of five states to implement PCV.</t>
        </r>
      </text>
    </comment>
    <comment ref="J21" authorId="0">
      <text>
        <r>
          <rPr>
            <sz val="10"/>
            <color rgb="FF000000"/>
            <rFont val="Arial"/>
          </rPr>
          <t>Includes Typhoid</t>
        </r>
      </text>
    </comment>
    <comment ref="M21" authorId="0">
      <text>
        <r>
          <rPr>
            <sz val="10"/>
            <color rgb="FF000000"/>
            <rFont val="Arial"/>
          </rPr>
          <t>Rotavirus is scheduled to be rolled out in March 2017.
Rajasthan is also on the first set of five states to implement PCV.</t>
        </r>
      </text>
    </comment>
    <comment ref="C27" authorId="0">
      <text>
        <r>
          <rPr>
            <sz val="10"/>
            <color rgb="FF000000"/>
            <rFont val="Arial"/>
          </rPr>
          <t>Includes Typhoid</t>
        </r>
      </text>
    </comment>
    <comment ref="F27" authorId="0">
      <text>
        <r>
          <rPr>
            <sz val="10"/>
            <color rgb="FF000000"/>
            <rFont val="Arial"/>
          </rPr>
          <t>Rotavirus is scheduled to be rolled out in March 2017.
Rajasthan is also on the first set of five states to implement PCV.</t>
        </r>
      </text>
    </comment>
    <comment ref="C33" authorId="0">
      <text>
        <r>
          <rPr>
            <sz val="10"/>
            <color rgb="FF000000"/>
            <rFont val="Arial"/>
          </rPr>
          <t>Includes Typhoid</t>
        </r>
      </text>
    </comment>
    <comment ref="F33" authorId="0">
      <text>
        <r>
          <rPr>
            <sz val="10"/>
            <color rgb="FF000000"/>
            <rFont val="Arial"/>
          </rPr>
          <t>Rotavirus is scheduled to be rolled out in March 2017.
Rajasthan is also on the first set of five states to implement PCV.</t>
        </r>
      </text>
    </comment>
    <comment ref="J33" authorId="0">
      <text>
        <r>
          <rPr>
            <sz val="10"/>
            <color rgb="FF000000"/>
            <rFont val="Arial"/>
          </rPr>
          <t>Includes Typhoid</t>
        </r>
      </text>
    </comment>
    <comment ref="M33" authorId="0">
      <text>
        <r>
          <rPr>
            <sz val="10"/>
            <color rgb="FF000000"/>
            <rFont val="Arial"/>
          </rPr>
          <t>Rotavirus is scheduled to be rolled out in March 2017.
Rajasthan is also on the first set of five states to implement PCV.</t>
        </r>
      </text>
    </comment>
    <comment ref="C41" authorId="0">
      <text>
        <r>
          <rPr>
            <sz val="10"/>
            <color rgb="FF000000"/>
            <rFont val="Arial"/>
          </rPr>
          <t>Coverage rates are from the national estimates in the National Family Health Survey 4:
http://rchiips.org/nfhs/pdf/NFHS4/India.pdf
NFHS4 vaccination estimates documented in India State Vaccination Rates spreadsheet:
https://docs.google.com/spreadsheets/d/10wIVInItjScsAvquBR6U9gAhRIxo_J7mYY5ZJ7Yi2pg/edit
Shared version:
https://drive.google.com/open?id=19_qcKH8ZgNXtE_tJqg4t27i42z0FchntixDlrvHvD0c
WHO India 2015 estimates - http://apps.who.int/immunization_monitoring/globalsummary/estimates?c=IND</t>
        </r>
      </text>
    </comment>
    <comment ref="I41" authorId="0">
      <text>
        <r>
          <rPr>
            <sz val="10"/>
            <color rgb="FF000000"/>
            <rFont val="Arial"/>
          </rPr>
          <t>Coverage rates are from Indian Rapid Survey On Children (RSOC) unless otherwise noted.
RSOC vaccination estimates documented in India State Vaccination Rates spreadsheet:
https://docs.google.com/spreadsheets/d/10wIVInItjScsAvquBR6U9gAhRIxo_J7mYY5ZJ7Yi2pg/edit
Shared version:
https://drive.google.com/open?id=19_qcKH8ZgNXtE_tJqg4t27i42z0FchntixDlrvHvD0c
WHO India 2015 estimates - http://apps.who.int/immunization_monitoring/globalsummary/estimates?c=IND</t>
        </r>
      </text>
    </comment>
    <comment ref="A42" authorId="0">
      <text>
        <r>
          <rPr>
            <sz val="10"/>
            <color rgb="FF000000"/>
            <rFont val="Arial"/>
          </rPr>
          <t>DPT is now given as part of a pentavalent vaccine that contains diphtheria, pertussis, tetanus, haemophilus influenzae type B, and hepatitis B vaccines.
http://www.gavi.org/progress-report/
Bar-On et al. 2011 (Cochrane Review) found low quality evidence and drew no conclusions on efficacy differences between DPT-HepB-Hip vaccines versus DPT-HepB and Hib taken separately
https://www.ncbi.nlm.nih.gov/pubmed/22513932</t>
        </r>
      </text>
    </comment>
    <comment ref="M42" authorId="0">
      <text>
        <r>
          <rPr>
            <sz val="10"/>
            <color rgb="FF000000"/>
            <rFont val="Arial"/>
          </rPr>
          <t>Added this as a rough estimate. It is simply halfway between DTP1 and DTP3</t>
        </r>
      </text>
    </comment>
    <comment ref="A46" authorId="0">
      <text>
        <r>
          <rPr>
            <sz val="10"/>
            <color rgb="FF000000"/>
            <rFont val="Arial"/>
          </rPr>
          <t>Hib is now given as part of a pentavalent vaccine that contains diphtheria, pertussis, tetanus, haemophilus influenzae type B, and hepatitis B vaccines.
http://www.gavi.org/progress-report/</t>
        </r>
      </text>
    </comment>
    <comment ref="C46" authorId="0">
      <text>
        <r>
          <rPr>
            <sz val="10"/>
            <color rgb="FF000000"/>
            <rFont val="Arial"/>
          </rPr>
          <t>Assumes that Hib coverage in the future would be exactly like DPT coverage because of both of them being a part of the newly released pentavalent vaccine.
WHO estimates current Hib3 at 45%.</t>
        </r>
      </text>
    </comment>
    <comment ref="A48" authorId="0">
      <text>
        <r>
          <rPr>
            <sz val="10"/>
            <color rgb="FF000000"/>
            <rFont val="Arial"/>
          </rPr>
          <t>Hep B is now given as part of a pentavalent vaccine that contains diphtheria, pertussis, tetanus, haemophilus influenzae type B, and hepatitis B vaccines.
http://www.gavi.org/progress-report/</t>
        </r>
      </text>
    </comment>
    <comment ref="C48" authorId="0">
      <text>
        <r>
          <rPr>
            <sz val="10"/>
            <color rgb="FF000000"/>
            <rFont val="Arial"/>
          </rPr>
          <t>Assumes that HepB coverage in the future would be exactly like DPT coverage because of both of them being a part of the newly released pentavalent vaccine</t>
        </r>
      </text>
    </comment>
    <comment ref="A54" authorId="0">
      <text>
        <r>
          <rPr>
            <sz val="10"/>
            <color rgb="FF000000"/>
            <rFont val="Arial"/>
          </rPr>
          <t>Vitamin A doses are included alongside the UIP immunization schedule at 9 months, 15-18 months, and 2-5 years</t>
        </r>
      </text>
    </comment>
    <comment ref="E57" authorId="0">
      <text>
        <r>
          <rPr>
            <sz val="10"/>
            <color rgb="FF000000"/>
            <rFont val="Arial"/>
          </rPr>
          <t>This is the most conservative of all estimates calculated for the proportion of the gap closed by SMS in 'Study Results - Gap Reduced' tab.</t>
        </r>
      </text>
    </comment>
    <comment ref="E62" authorId="0">
      <text>
        <r>
          <rPr>
            <sz val="10"/>
            <color rgb="FF000000"/>
            <rFont val="Arial"/>
          </rPr>
          <t>Deaths prevented by tetanus discounted by 80% due to potential protective effects of prenatal vaccination (and those for children ages 11 and 16).
~90% of mothers in India receive 2 doses of TT before birth according to the NFHS4 and the RSOC.
NFHS4:
http://rchiips.org/nfhs/pdf/NFHS4/India.pdf
RSOC - http://wcd.nic.in/sites/default/files/India%20fact%20sheet.pdf</t>
        </r>
      </text>
    </comment>
    <comment ref="C65" authorId="0">
      <text>
        <r>
          <rPr>
            <sz val="10"/>
            <color rgb="FF000000"/>
            <rFont val="Arial"/>
          </rPr>
          <t>DPT3 and Measles 1 - NFHS4 estimates
HepB3 and Hib3 - assumed to be equivalent to DPT because of the rollout of the pentavalent vaccine replacing DPT 
DPT1, Hib1, HepB1 -  Modeled using the decline from DPT1 to DPT3 in the WHO's estimates of national coverage. So, for example, in Hyderabad with a national DPT3 of 87% and DPT1 of 90%, the third dose has a rate 96.67% of the first dose. The local estimate of DPT3 is 89.5%, which is 96.67% of the derived estimate DPT1 of 92.59%.
DPT2, Hib2, HepB2 - the midpoint between the derived DPT1 estimate and the NFHS4 local estimate
Measles 2 - Derived using WHO's the difference between Measles 1 and Measles 2 as an estimate of the decline between shot 1 and 2. It uses the percentage of Measles 2 coverage as a fraction of Measles 1 coverage from the WHO national estimates. Then it multiplies this by the regional Measles 1 estimate.
Rotavirus, PCV, Typhoid - Use the Measles 1 percentage point increase calculated in the region due to a lack of data on vaccination rates for these vaccines.
NFHS-4 - http://rchiips.org/nfhs/pdf/NFHS4/TG_FactSheet.pdf</t>
        </r>
      </text>
    </comment>
    <comment ref="F65" authorId="0">
      <text>
        <r>
          <rPr>
            <sz val="10"/>
            <color rgb="FF000000"/>
            <rFont val="Arial"/>
          </rPr>
          <t>DPT3 and Measles 1 - RSOC estimates
HepB2, HepB3, Hib2 and Hib3 - assumed to be equivalent to DPT because of the rollout of the pentavalent vaccine replacing DPT
DPT 1 - Uses the difference in the proportion of the gap that remains in DPT2 and DPT3 to estimate DPT1. So, for example, in Hyderabad 18.4% remained for DPT3 and 9.7% for DPT2 meaning the prior gap was 53% of the following gap. This estimate assumes that pattern continues back to DPT1 such that the initial gap in DPT1 is 53% of the gap in DPT2.
DPT2 - Dropout rate from DPT2 to DPT3 is given in RSOC. This estimate is added to DPT3 rate.
Measles 2 - Derived using WHO's the difference between the gap remaining at Measles 1 and Measles 2 as an estimate of the decline between shot 1 and 2. It takes the WHO Measles 1 and Measles 2 estimates and using the percentage difference in gaps to estimate measles 2, using the RSOC's Measles 1 estimate for the region to anchor the Measles 2 estimate.
Rotavirus, PCV, Typhoid - Use the Measles 1 percentage point increase calculated in the region due to a lack of data on vaccination rates for these vaccines.</t>
        </r>
      </text>
    </comment>
    <comment ref="I65" authorId="0">
      <text>
        <r>
          <rPr>
            <sz val="10"/>
            <color rgb="FF000000"/>
            <rFont val="Arial"/>
          </rPr>
          <t>DPT3 and Measles 1 - NFHS4 estimates
HepB3 and Hib3 - assumed to be equivalent to DPT because of the rollout of the pentavalent vaccine replacing DPT 
DPT1, Hib1, HepB1 -  Modeled using the decline from DPT1 to DPT3 in the WHO's estimates of national coverage. So, for example, in Hyderabad with a national DPT3 of 87% and DPT1 of 90%, the third dose has a rate 96.67% of the first dose. The local estimate of DPT3 is 89.5%, which is 96.67% of the derived estimate DPT1 of 92.59%.
DPT2, Hib2, HepB2 - the midpoint between the derived DPT1 estimate and the NFHS4 local estimate
Measles 2 - Derived using WHO's the difference between Measles 1 and Measles 2 as an estimate of the decline between shot 1 and 2. It uses the percentage of Measles 2 coverage as a fraction of Measles 1 coverage from the WHO national estimates. Then it multiplies this by the regional Measles 1 estimate.
Rotavirus, PCV, Typhoid - Use the Measles 1 percentage point increase calculated in the region due to a lack of data on vaccination rates for these vaccines.
NFHS-4 - http://rchiips.org/nfhs/pdf/NFHS4/TG_FactSheet.pdf</t>
        </r>
      </text>
    </comment>
    <comment ref="L65" authorId="0">
      <text>
        <r>
          <rPr>
            <sz val="10"/>
            <color rgb="FF000000"/>
            <rFont val="Arial"/>
          </rPr>
          <t>Uses Andhra Pradesh estimates because state split with Andhra Pradesh wasn't complete by survey date.
DPT3 and Measles 1 - RSOC estimates
HepB2, HepB3, Hib2 and Hib3 - assumed to be equivalent to DPT because of the rollout of the pentavalent vaccine replacing DPT
DPT 1 - Uses the difference in the proportion of the gap that remains in DPT2 and DPT3 to estimate DPT1. So, for example, in Hyderabad 18.4% remained for DPT3 and 9.7% for DPT2 meaning the prior gap was 53% of the following gap. This estimate assumes that pattern continues back to DPT1 such that the initial gap in DPT1 is 53% of the gap in DPT2.
DPT2 - Dropout rate from DPT2 to DPT3 is given in RSOC. This estimate is added to DPT3 rate.
Measles 2 - Derived using WHO's the difference between the gap remaining at Measles 1 and Measles 2 as an estimate of the decline between shot 1 and 2. It takes the WHO Measles 1 and Measles 2 estimates and using the percentage difference in gaps to estimate measles 2, using the RSOC's Measles 1 estimate for the region to anchor the Measles 2 estimate.
Rotavirus, PCV, Typhoid - Use the Measles 1 percentage point increase calculated in the region due to a lack of data on vaccination rates for these vaccines.</t>
        </r>
      </text>
    </comment>
    <comment ref="O65" authorId="0">
      <text>
        <r>
          <rPr>
            <sz val="10"/>
            <color rgb="FF000000"/>
            <rFont val="Arial"/>
          </rPr>
          <t>DPT3 and Measles 1 - NFHS4 estimates
HepB3 and Hib3 - assumed to be equivalent to DPT because of the rollout of the pentavalent vaccine replacing DPT 
DPT1, Hib1, HepB1 -  Modeled using the decline from DPT1 to DPT3 in the WHO's estimates of national coverage. So, for example, in Hyderabad with a national DPT3 of 87% and DPT1 of 90%, the third dose has a rate 96.67% of the first dose. The local estimate of DPT3 is 89.5%, which is 96.67% of the derived estimate DPT1 of 92.59%.
DPT2, Hib2, HepB2 - the midpoint between the derived DPT1 estimate and the NFHS4 local estimate
Measles 2 - Derived using WHO's the difference between Measles 1 and Measles 2 as an estimate of the decline between shot 1 and 2. It uses the percentage of Measles 2 coverage as a fraction of Measles 1 coverage from the WHO national estimates. Then it multiplies this by the regional Measles 1 estimate.
Rotavirus, PCV, Typhoid - Use the Measles 1 percentage point increase calculated in the region due to a lack of data on vaccination rates for these vaccines.
NFHS-4 - http://rchiips.org/nfhs/pdf/NFHS4/TG_FactSheet.pdf</t>
        </r>
      </text>
    </comment>
    <comment ref="R65" authorId="0">
      <text>
        <r>
          <rPr>
            <sz val="10"/>
            <color rgb="FF000000"/>
            <rFont val="Arial"/>
          </rPr>
          <t>DPT3 and Measles 1 - RSOC estimates
HepB2, HepB3, Hib2 and Hib3 - assumed to be equivalent to DPT because of the rollout of the pentavalent vaccine replacing DPT
DPT 1 - Uses the difference in the proportion of the gap that remains in DPT2 and DPT3 to estimate DPT1. So, for example, in Hyderabad 18.4% remained for DPT3 and 9.7% for DPT2 meaning the prior gap was 53% of the following gap. This estimate assumes that pattern continues back to DPT1 such that the initial gap in DPT1 is 53% of the gap in DPT2.
DPT2 - Dropout rate from DPT2 to DPT3 is given in RSOC. This estimate is added to DPT3 rate.
Measles 2 - Derived using WHO's the difference between the gap remaining at Measles 1 and Measles 2 as an estimate of the decline between shot 1 and 2. It takes the WHO Measles 1 and Measles 2 estimates and using the percentage difference in gaps to estimate measles 2, using the RSOC's Measles 1 estimate for the region to anchor the Measles 2 estimate.
Rotavirus, PCV, Typhoid - Use the Measles 1 percentage point increase calculated in the region due to a lack of data on vaccination rates for these vaccines.</t>
        </r>
      </text>
    </comment>
    <comment ref="U65" authorId="0">
      <text>
        <r>
          <rPr>
            <sz val="10"/>
            <color rgb="FF000000"/>
            <rFont val="Arial"/>
          </rPr>
          <t>DPT3 and Measles 1 - NFHS4 estimates
HepB3 and Hib3 - assumed to be equivalent to DPT because of the rollout of the pentavalent vaccine replacing DPT 
DPT1, Hib1, HepB1 -  Modeled using the decline from DPT1 to DPT3 in the WHO's estimates of national coverage. So, for example, in Hyderabad with a national DPT3 of 87% and DPT1 of 90%, the third dose has a rate 96.67% of the first dose. The local estimate of DPT3 is 89.5%, which is 96.67% of the derived estimate DPT1 of 92.59%.
DPT2, Hib2, HepB2 - the midpoint between the derived DPT1 estimate and the NFHS4 local estimate
Measles 2 - Derived using WHO's the difference between Measles 1 and Measles 2 as an estimate of the decline between shot 1 and 2. It uses the percentage of Measles 2 coverage as a fraction of Measles 1 coverage from the WHO national estimates. Then it multiplies this by the regional Measles 1 estimate.
Rotavirus, PCV, Typhoid - Use the Measles 1 percentage point increase calculated in the region due to a lack of data on vaccination rates for these vaccines.
NFHS-4 - http://rchiips.org/nfhs/pdf/NFHS4/TG_FactSheet.pdf</t>
        </r>
      </text>
    </comment>
    <comment ref="X65" authorId="0">
      <text>
        <r>
          <rPr>
            <sz val="10"/>
            <color rgb="FF000000"/>
            <rFont val="Arial"/>
          </rPr>
          <t>DPT3 and Measles 1 - RSOC estimates
HepB2, HepB3, Hib2 and Hib3 - assumed to be equivalent to DPT because of the rollout of the pentavalent vaccine replacing DPT
DPT 1 - Uses the difference in the proportion of the gap that remains in DPT2 and DPT3 to estimate DPT1. So, for example, in Hyderabad 18.4% remained for DPT3 and 9.7% for DPT2 meaning the prior gap was 53% of the following gap. This estimate assumes that pattern continues back to DPT1 such that the initial gap in DPT1 is 53% of the gap in DPT2.
DPT2 - Dropout rate from DPT2 to DPT3 is given in RSOC. This estimate is added to DPT3 rate.
Measles 2 - Derived using WHO's the difference between the gap remaining at Measles 1 and Measles 2 as an estimate of the decline between shot 1 and 2. It takes the WHO Measles 1 and Measles 2 estimates and using the percentage difference in gaps to estimate measles 2, using the RSOC's Measles 1 estimate for the region to anchor the Measles 2 estimate.
Rotavirus, PCV, Typhoid - Use the Measles 1 percentage point increase calculated in the region due to a lack of data on vaccination rates for these vaccines.</t>
        </r>
      </text>
    </comment>
    <comment ref="G69" authorId="0">
      <text>
        <r>
          <rPr>
            <sz val="10"/>
            <color rgb="FF000000"/>
            <rFont val="Arial"/>
          </rPr>
          <t>An alternate estimate from 2007 is 41.6%
Chhabra et al. 2007 - Immunization in urbanized villages of Delhi. - 
https://www.ncbi.nlm.nih.gov/pubmed/17337823</t>
        </r>
      </text>
    </comment>
    <comment ref="C73" authorId="0">
      <text>
        <r>
          <rPr>
            <sz val="10"/>
            <color rgb="FF000000"/>
            <rFont val="Arial"/>
          </rPr>
          <t>Given in Delhi as part of MMR at timing of Measles 2 so that vaccine rate is assumed.
An alternate estimate from 2007 is 41.6%
Chhabra et al. 2007 - Immunization in urbanized villages of Delhi. - 
https://www.ncbi.nlm.nih.gov/pubmed/17337823</t>
        </r>
      </text>
    </comment>
    <comment ref="F73" authorId="0">
      <text>
        <r>
          <rPr>
            <sz val="10"/>
            <color rgb="FF000000"/>
            <rFont val="Arial"/>
          </rPr>
          <t>Given in Delhi as part of MMR at timing of Measles 2 so that vaccine rate is assumed.
An alternate estimate from 2007 is 41.6%
Chhabra et al. 2007 - Immunization in urbanized villages of Delhi. - 
https://www.ncbi.nlm.nih.gov/pubmed/17337823</t>
        </r>
      </text>
    </comment>
    <comment ref="A78" authorId="0">
      <text>
        <r>
          <rPr>
            <sz val="10"/>
            <color rgb="FF000000"/>
            <rFont val="Arial"/>
          </rPr>
          <t>Is in use as part of UIP in Delhi
John et al. 2016 -
https://www.ncbi.nlm.nih.gov/pmc/articles/PMC4833325/
Direct experience our staff had with hospitals in Delhi has confirmed this.</t>
        </r>
      </text>
    </comment>
    <comment ref="A94" authorId="0">
      <text>
        <r>
          <rPr>
            <sz val="10"/>
            <color rgb="FF000000"/>
            <rFont val="Arial"/>
          </rPr>
          <t>Is in use as part of UIP in Delhi
John et al. 2016 -
https://www.ncbi.nlm.nih.gov/pmc/articles/PMC4833325/
Direct experience our staff had with hospitals in Delhi has confirmed this.</t>
        </r>
      </text>
    </comment>
    <comment ref="A110" authorId="0">
      <text>
        <r>
          <rPr>
            <sz val="10"/>
            <color rgb="FF000000"/>
            <rFont val="Arial"/>
          </rPr>
          <t>Is in use as part of UIP in Delhi
John et al. 2016 -
https://www.ncbi.nlm.nih.gov/pmc/articles/PMC4833325/
Direct experience our staff had with hospitals in Delhi has confirmed this.</t>
        </r>
      </text>
    </comment>
    <comment ref="A126" authorId="0">
      <text>
        <r>
          <rPr>
            <sz val="10"/>
            <color rgb="FF000000"/>
            <rFont val="Arial"/>
          </rPr>
          <t>Is in use as part of UIP in Delhi
John et al. 2016 -
https://www.ncbi.nlm.nih.gov/pmc/articles/PMC4833325/
Direct experience our staff had with hospitals in Delhi has confirmed this.</t>
        </r>
      </text>
    </comment>
    <comment ref="A142" authorId="0">
      <text>
        <r>
          <rPr>
            <sz val="10"/>
            <color rgb="FF000000"/>
            <rFont val="Arial"/>
          </rPr>
          <t>Is in use as part of UIP in Delhi
John et al. 2016 -
https://www.ncbi.nlm.nih.gov/pmc/articles/PMC4833325/
Direct experience our staff had with hospitals in Delhi has confirmed this.</t>
        </r>
      </text>
    </comment>
  </commentList>
</comments>
</file>

<file path=xl/comments4.xml><?xml version="1.0" encoding="utf-8"?>
<comments xmlns="http://schemas.openxmlformats.org/spreadsheetml/2006/main">
  <authors>
    <author>Author</author>
  </authors>
  <commentList>
    <comment ref="A15" authorId="0">
      <text>
        <r>
          <rPr>
            <sz val="10"/>
            <color rgb="FF000000"/>
            <rFont val="Arial"/>
          </rPr>
          <t>Vitamin A doses are included alongside the UIP immunization schedule</t>
        </r>
      </text>
    </comment>
    <comment ref="G20" authorId="0">
      <text>
        <r>
          <rPr>
            <sz val="10"/>
            <color rgb="FF000000"/>
            <rFont val="Arial"/>
          </rPr>
          <t>Sum of the YLLs due to pneumonia and diarrhea, multiplied by the fraction of deaths from each cause attributable to SUBF.
This assumes that the YLLs per death from each disease are the same for deaths attributable to SUBF and deaths not attributable to SUBF. This is unlikely to be the case, as deaths attributable to SUBF are probably disproportionately early. Hence, this is probably an underestimate.</t>
        </r>
      </text>
    </comment>
    <comment ref="H20" authorId="0">
      <text>
        <r>
          <rPr>
            <sz val="10"/>
            <color rgb="FF000000"/>
            <rFont val="Arial"/>
          </rPr>
          <t>Sum of the number of deaths due to pneumonia and diarrhea, multiplied by the fraction of deaths from each cause attributable to SUBF.
Note that this only accounts for deaths under 6 months. So this may be an underestimate, as some deaths of children between 6 mos. and 5yrs may be prevented by early breastfeeding.</t>
        </r>
      </text>
    </comment>
  </commentList>
</comments>
</file>

<file path=xl/comments5.xml><?xml version="1.0" encoding="utf-8"?>
<comments xmlns="http://schemas.openxmlformats.org/spreadsheetml/2006/main">
  <authors>
    <author>Author</author>
  </authors>
  <commentList>
    <comment ref="B2" authorId="0">
      <text>
        <r>
          <rPr>
            <sz val="10"/>
            <color rgb="FF000000"/>
            <rFont val="Arial"/>
          </rPr>
          <t xml:space="preserve">Death rates for older populations in this sheet will likely be incorrect as current vaccination rates are used to estimate the number of vaccinated and unvaccinated people in each age group.
As vaccination rates have increased markedly in the last 20-30 years, estimates in this sheet will underestimate the total number of unvaccinated people in the population and hence the number of deaths from disease due to being unvaccinated.
These calculations also unrealistically assume no delays in vaccination uptake such that the reported vaccination rate, which is typically reported for children 12-23 months, is assumed to have occurred at the recommended time for vaccination. This will likely underestimate the proportion of children who are unvaccinated between the time of recommended vaccination and the time at which vaccination rate estimates are made. </t>
        </r>
      </text>
    </comment>
    <comment ref="A19" authorId="0">
      <text>
        <r>
          <rPr>
            <sz val="10"/>
            <color rgb="FF000000"/>
            <rFont val="Arial"/>
          </rPr>
          <t>Death rates for older populations in this sheet will likely be incorrect as current vaccination rates are used to estimate the number of vaccinated and unvaccinated people in each age group.
As vaccination rates have increased markedly in the last 20-30 years, estimates in this sheet will underestimate the total number of unvaccinated people in the population and hence the number of deaths from disease due to being unvaccinated</t>
        </r>
      </text>
    </comment>
    <comment ref="B21" authorId="0">
      <text>
        <r>
          <rPr>
            <sz val="10"/>
            <color rgb="FF000000"/>
            <rFont val="Arial"/>
          </rPr>
          <t>Derived from GBD estimates of total deaths from all causes and the fatality rate at that age.</t>
        </r>
      </text>
    </comment>
    <comment ref="N21" authorId="0">
      <text>
        <r>
          <rPr>
            <sz val="10"/>
            <color rgb="FF000000"/>
            <rFont val="Arial"/>
          </rPr>
          <t>Uses pertussis estimates from From GW ' Incentives for Immunization CEA 03-16-16', Epidemiology tab</t>
        </r>
      </text>
    </comment>
    <comment ref="A39" authorId="0">
      <text>
        <r>
          <rPr>
            <sz val="10"/>
            <color rgb="FF000000"/>
            <rFont val="Arial"/>
          </rPr>
          <t>Death rates for older populations in this sheet will likely be incorrect as current vaccination rates are used to estimate the number of vaccinated and unvaccinated people in each age group.
As vaccination rates have increased markedly in the last 20-30 years, estimates in this sheet will underestimate the total number of unvaccinated people in the population and hence the number of deaths from disease due to being unvaccinated</t>
        </r>
      </text>
    </comment>
    <comment ref="B41" authorId="0">
      <text>
        <r>
          <rPr>
            <sz val="10"/>
            <color rgb="FF000000"/>
            <rFont val="Arial"/>
          </rPr>
          <t>Derived from GBD estimates of total deaths from all causes and the fatality rate at that age.</t>
        </r>
      </text>
    </comment>
    <comment ref="N41" authorId="0">
      <text>
        <r>
          <rPr>
            <sz val="10"/>
            <color rgb="FF000000"/>
            <rFont val="Arial"/>
          </rPr>
          <t>Total efficacy and breakdown by age taken from GW Incentives for Immunization CEA 03-16-16, Epidemiology tab</t>
        </r>
      </text>
    </comment>
    <comment ref="A59" authorId="0">
      <text>
        <r>
          <rPr>
            <sz val="10"/>
            <color rgb="FF000000"/>
            <rFont val="Arial"/>
          </rPr>
          <t>Death rates for older populations in this sheet will likely be incorrect as current vaccination rates are used to estimate the number of vaccinated and unvaccinated people in each age group.
As vaccination rates have increased markedly in the last 20-30 years, estimates in this sheet will underestimate the total number of unvaccinated people in the population and hence the number of deaths from disease due to being unvaccinated</t>
        </r>
      </text>
    </comment>
    <comment ref="B61" authorId="0">
      <text>
        <r>
          <rPr>
            <sz val="10"/>
            <color rgb="FF000000"/>
            <rFont val="Arial"/>
          </rPr>
          <t>Derived from GBD estimates of total deaths from all causes and the fatality rate at that age.</t>
        </r>
      </text>
    </comment>
    <comment ref="N61" authorId="0">
      <text>
        <r>
          <rPr>
            <sz val="10"/>
            <color rgb="FF000000"/>
            <rFont val="Arial"/>
          </rPr>
          <t>Total efficacy and distribution from Gupta et al. 2013, Cost-effectiveness of Haemophilus influenzae type b (Hib) vaccine introduction in the universal immunization schedule in Haryana State, India
http://heapol.oxfordjournals.org/content/28/1/51.long
Efficacy change over time from measles estimates in GW ' Incentives for Immunization CEA 03-16-16', Epidemiology tab</t>
        </r>
      </text>
    </comment>
    <comment ref="A79" authorId="0">
      <text>
        <r>
          <rPr>
            <sz val="10"/>
            <color rgb="FF000000"/>
            <rFont val="Arial"/>
          </rPr>
          <t>Death rates for older populations in this sheet will likely be incorrect as current vaccination rates are used to estimate the number of vaccinated and unvaccinated people in each age group.
As vaccination rates have increased markedly in the last 20-30 years, estimates in this sheet will underestimate the total number of unvaccinated people in the population and hence the number of deaths from disease due to being unvaccinated</t>
        </r>
      </text>
    </comment>
    <comment ref="B81" authorId="0">
      <text>
        <r>
          <rPr>
            <sz val="10"/>
            <color rgb="FF000000"/>
            <rFont val="Arial"/>
          </rPr>
          <t>Derived from GBD estimates of total deaths from all causes and the fatality rate at that age.</t>
        </r>
      </text>
    </comment>
    <comment ref="N81" authorId="0">
      <text>
        <r>
          <rPr>
            <sz val="10"/>
            <color rgb="FF000000"/>
            <rFont val="Arial"/>
          </rPr>
          <t>Total efficacy and distribution from Gupta et al. 2013, Cost-effectiveness of Haemophilus influenzae type b (Hib) vaccine introduction in the universal immunization schedule in Haryana State, India
http://heapol.oxfordjournals.org/content/28/1/51.long
Efficacy change over time from measles estimates in GW ' Incentives for Immunization CEA 03-16-16', Epidemiology tab</t>
        </r>
      </text>
    </comment>
    <comment ref="A99" authorId="0">
      <text>
        <r>
          <rPr>
            <sz val="10"/>
            <color rgb="FF000000"/>
            <rFont val="Arial"/>
          </rPr>
          <t>Death rates for older populations in this sheet will likely be incorrect as current vaccination rates are used to estimate the number of vaccinated and unvaccinated people in each age group.
As vaccination rates have increased markedly in the last 20-30 years, estimates in this sheet will underestimate the total number of unvaccinated people in the population and hence the number of deaths from disease due to being unvaccinated</t>
        </r>
      </text>
    </comment>
    <comment ref="B101" authorId="0">
      <text>
        <r>
          <rPr>
            <sz val="10"/>
            <color rgb="FF000000"/>
            <rFont val="Arial"/>
          </rPr>
          <t>Derived from GBD estimates of total deaths from all causes and the fatality rate at that age.</t>
        </r>
      </text>
    </comment>
    <comment ref="N101" authorId="0">
      <text>
        <r>
          <rPr>
            <sz val="10"/>
            <color rgb="FF000000"/>
            <rFont val="Arial"/>
          </rPr>
          <t>Total efficacy and distribution from Goldstein et al. 2005, - A mathematical model to estimate global hepatitis B disease burden and vaccination impact: http://ije.oxfordjournals.org/content/34/6/1329.full 
http://heapol.oxfordjournals.org/content/28/1/51.long
Efficacy change over time from measles estimates in GW ' Incentives for Immunization CEA 03-16-16', Epidemiology tab</t>
        </r>
      </text>
    </comment>
  </commentList>
</comments>
</file>

<file path=xl/comments6.xml><?xml version="1.0" encoding="utf-8"?>
<comments xmlns="http://schemas.openxmlformats.org/spreadsheetml/2006/main">
  <authors>
    <author>Author</author>
  </authors>
  <commentList>
    <comment ref="F1" authorId="0">
      <text>
        <r>
          <rPr>
            <sz val="10"/>
            <color rgb="FF000000"/>
            <rFont val="Arial"/>
          </rPr>
          <t>Different weightings for upfront/fixed costs added are included for clarification of upfront costs as a fraction of all costs and for ease of comparison with other global health interventions</t>
        </r>
      </text>
    </comment>
    <comment ref="A3" authorId="0">
      <text>
        <r>
          <rPr>
            <sz val="10"/>
            <color rgb="FF000000"/>
            <rFont val="Arial"/>
          </rPr>
          <t>TeleRivet pricing if billed yearly
https://telerivet.com/pricing</t>
        </r>
      </text>
    </comment>
    <comment ref="A4" authorId="0">
      <text>
        <r>
          <rPr>
            <sz val="10"/>
            <color rgb="FF000000"/>
            <rFont val="Arial"/>
          </rPr>
          <t xml:space="preserve">Estimate based on cost of AWS storage prices for Canada or Mumbai
Standard Storage - $0.025 per GB
PUT, PUT, COPY, POST, or LIST Requests - $0.005 per 1000 requests
GET and all other Requests - $0.004 per 1000 requests
Delete requests - Free
https://aws.amazon.com/s3/pricing/
</t>
        </r>
      </text>
    </comment>
    <comment ref="B15" authorId="0">
      <text>
        <r>
          <rPr>
            <sz val="10"/>
            <color rgb="FF000000"/>
            <rFont val="Arial"/>
          </rPr>
          <t>Estimate based on amount actually charged to send a message in India.</t>
        </r>
      </text>
    </comment>
    <comment ref="C15" authorId="0">
      <text>
        <r>
          <rPr>
            <sz val="10"/>
            <color rgb="FF000000"/>
            <rFont val="Arial"/>
          </rPr>
          <t>Estimate based on amount actually charged to send a message in India.</t>
        </r>
      </text>
    </comment>
    <comment ref="D15" authorId="0">
      <text>
        <r>
          <rPr>
            <sz val="10"/>
            <color rgb="FF000000"/>
            <rFont val="Arial"/>
          </rPr>
          <t xml:space="preserve">Estimate based expected mass messaging discount of half of standard SMS cost + some chance of getting SMS for free from a company
</t>
        </r>
      </text>
    </comment>
    <comment ref="F15" authorId="0">
      <text>
        <r>
          <rPr>
            <sz val="10"/>
            <color rgb="FF000000"/>
            <rFont val="Arial"/>
          </rPr>
          <t>Excludes the cost of our messaging system as vRemind has their own messaging system</t>
        </r>
      </text>
    </comment>
    <comment ref="B17" authorId="0">
      <text>
        <r>
          <rPr>
            <sz val="10"/>
            <color rgb="FF000000"/>
            <rFont val="Arial"/>
          </rPr>
          <t>Based on 2 messages sent for each UIP vaccination time for children under 5. 
6 weeks, 10 weeks, 14 weeks, 9 months, 16-24 months, 24-60 months, 60 months.</t>
        </r>
      </text>
    </comment>
    <comment ref="B23" authorId="0">
      <text>
        <r>
          <rPr>
            <sz val="10"/>
            <color rgb="FF000000"/>
            <rFont val="Arial"/>
          </rPr>
          <t>Actual grant amount for proposal</t>
        </r>
      </text>
    </comment>
    <comment ref="A28" authorId="0">
      <text>
        <r>
          <rPr>
            <sz val="10"/>
            <color rgb="FF000000"/>
            <rFont val="Arial"/>
          </rPr>
          <t>Based on estimate of hiring for equivalent jobs, informed by our Indian contacts and staff</t>
        </r>
      </text>
    </comment>
    <comment ref="A30" authorId="0">
      <text>
        <r>
          <rPr>
            <sz val="10"/>
            <color rgb="FF000000"/>
            <rFont val="Arial"/>
          </rPr>
          <t>Based on estimate of hiring for equivalent jobs, informed by our Indian contacts and staff</t>
        </r>
      </text>
    </comment>
    <comment ref="A32" authorId="0">
      <text>
        <r>
          <rPr>
            <sz val="10"/>
            <color rgb="FF000000"/>
            <rFont val="Arial"/>
          </rPr>
          <t>Based on estimated number of contacts from hospitals with which we have had discussions about our program</t>
        </r>
      </text>
    </comment>
    <comment ref="F35" authorId="0">
      <text>
        <r>
          <rPr>
            <sz val="10"/>
            <color rgb="FF000000"/>
            <rFont val="Arial"/>
          </rPr>
          <t>NFHS-4-derived estimates for lives saved are used, where available, instead of RSOC 2013-14, as they are more recent and have a larger sample size</t>
        </r>
      </text>
    </comment>
    <comment ref="I37" authorId="0">
      <text>
        <r>
          <rPr>
            <sz val="10"/>
            <color rgb="FF000000"/>
            <rFont val="Arial"/>
          </rPr>
          <t>This is based on figures from Rajasthan, which is one of the states we will be targeting most heavily, and is a good proxy for other low-vaccination-rate states we will be targeting.</t>
        </r>
      </text>
    </comment>
    <comment ref="C38" authorId="0">
      <text>
        <r>
          <rPr>
            <sz val="10"/>
            <color rgb="FF000000"/>
            <rFont val="Arial"/>
          </rPr>
          <t>Number comes from their budget</t>
        </r>
      </text>
    </comment>
    <comment ref="C39" authorId="0">
      <text>
        <r>
          <rPr>
            <sz val="10"/>
            <color rgb="FF000000"/>
            <rFont val="Arial"/>
          </rPr>
          <t>Estimate comes from their budget</t>
        </r>
      </text>
    </comment>
    <comment ref="B43" authorId="0">
      <text>
        <r>
          <rPr>
            <sz val="10"/>
            <color rgb="FF000000"/>
            <rFont val="Arial"/>
          </rPr>
          <t>Projected based on 120.52 cost actually paid for phone and an additional phone</t>
        </r>
      </text>
    </comment>
    <comment ref="B44" authorId="0">
      <text>
        <r>
          <rPr>
            <sz val="10"/>
            <color rgb="FF000000"/>
            <rFont val="Arial"/>
          </rPr>
          <t>Actual cost of 2 test phones bought in India</t>
        </r>
      </text>
    </comment>
  </commentList>
</comments>
</file>

<file path=xl/comments7.xml><?xml version="1.0" encoding="utf-8"?>
<comments xmlns="http://schemas.openxmlformats.org/spreadsheetml/2006/main">
  <authors>
    <author>Author</author>
  </authors>
  <commentList>
    <comment ref="C20" authorId="0">
      <text>
        <r>
          <rPr>
            <sz val="10"/>
            <color rgb="FF000000"/>
            <rFont val="Arial"/>
          </rPr>
          <t>Under 5 estimates use the number of days in the period and assume the population is proportional to the fraction of days that period makes up of all under 5 days.
This assumption undercounts neonates relative to 1 to 5 year olds due to the deaths of infants.</t>
        </r>
      </text>
    </comment>
    <comment ref="I20" authorId="0">
      <text>
        <r>
          <rPr>
            <sz val="10"/>
            <color rgb="FF000000"/>
            <rFont val="Arial"/>
          </rPr>
          <t>All diseases currently use the 60% of under 5 deaths in children under 2 that is derived from Measles (itself from real studies of CFR on measles).</t>
        </r>
      </text>
    </comment>
    <comment ref="L20" authorId="0">
      <text>
        <r>
          <rPr>
            <sz val="10"/>
            <color rgb="FF000000"/>
            <rFont val="Arial"/>
          </rPr>
          <t>Assumes 60% of under 5 deaths are under 2. Based on Raoot et al. 2016 and Murkekar et al. 2014. To be revised, and turned into note
Murkekar et al. 2014 - https://www.ncbi.nlm.nih.gov/pmc/articles/PMC4019661/
Raoot et al. 2016 - https://www.ncbi.nlm.nih.gov/pubmed/26220243</t>
        </r>
      </text>
    </comment>
    <comment ref="D34" authorId="0">
      <text>
        <r>
          <rPr>
            <sz val="10"/>
            <color rgb="FF000000"/>
            <rFont val="Arial"/>
          </rPr>
          <t>Sum of computed under 5 estimates and estimates derived more directly from GBD</t>
        </r>
      </text>
    </comment>
  </commentList>
</comments>
</file>

<file path=xl/comments8.xml><?xml version="1.0" encoding="utf-8"?>
<comments xmlns="http://schemas.openxmlformats.org/spreadsheetml/2006/main">
  <authors>
    <author>Author</author>
  </authors>
  <commentList>
    <comment ref="D3" authorId="0">
      <text>
        <r>
          <rPr>
            <sz val="10"/>
            <color rgb="FF000000"/>
            <rFont val="Arial"/>
          </rPr>
          <t xml:space="preserve">Rate for second vaccination. Goes down for third and fourth
</t>
        </r>
      </text>
    </comment>
    <comment ref="E3" authorId="0">
      <text>
        <r>
          <rPr>
            <sz val="10"/>
            <color rgb="FF000000"/>
            <rFont val="Arial"/>
          </rPr>
          <t>The control figures for these three shots are used as Katherine reviewed the study (it's in French) and there are no baseline figures reported.
The baseline figures could be found by looking for data on the vaccination rate in the Bobo Dioulasso of Burkina Faso. The study was done in 2014, so the vaccination rate from 2012-2014 would be ideal.</t>
        </r>
      </text>
    </comment>
    <comment ref="A4" authorId="0">
      <text>
        <r>
          <rPr>
            <sz val="10"/>
            <color rgb="FF000000"/>
            <rFont val="Arial"/>
          </rPr>
          <t>This study used 2 intervention groups and a control. Each group had 372 people. Since we are not using both interventions here (one was a sticker reminder), it may make more sense to use 744 as the sample size.
Presently, this wouldn't change the endline life saved number in the CEA estimate tab because the Haji numbers aren't included in the 3rd shot v baseline and 3rd shot v control calculations that are currently the most conservative estimates. (The most conservative, the 3rd vaccination compared to control is used).</t>
        </r>
      </text>
    </comment>
    <comment ref="D4" authorId="0">
      <text>
        <r>
          <rPr>
            <sz val="10"/>
            <color rgb="FF000000"/>
            <rFont val="Arial"/>
          </rPr>
          <t>This seems to be the control group's rate of vaccination for the third pentavalent dose. However, the rate for the second dose is also given, 91%
The citation in the study for their vaccination rate doesn't seem applicable: http://bmcpregnancychildbirth.biomedcentral.com/articles/10.1186/1471-2393-13-40</t>
        </r>
      </text>
    </comment>
    <comment ref="E4" authorId="0">
      <text>
        <r>
          <rPr>
            <sz val="10"/>
            <color rgb="FF000000"/>
            <rFont val="Arial"/>
          </rPr>
          <t>Baseline vaccination rates for study sample are not provided in the paper; they are calculated below using district-level estimates.</t>
        </r>
      </text>
    </comment>
    <comment ref="Q4" authorId="0">
      <text>
        <r>
          <rPr>
            <sz val="10"/>
            <color rgb="FF000000"/>
            <rFont val="Arial"/>
          </rPr>
          <t>Uses the 2nd shot baseline because the study was reviewing rates at 10 and 14 weeks, 2nd and 3rd doses in a series</t>
        </r>
      </text>
    </comment>
    <comment ref="S4" authorId="0">
      <text>
        <r>
          <rPr>
            <sz val="10"/>
            <color rgb="FF000000"/>
            <rFont val="Arial"/>
          </rPr>
          <t>Uses the 3nd shot baseline because the study was reviewing rates at 10 and 14 weeks, 2nd and 3rd doses in a series</t>
        </r>
      </text>
    </comment>
    <comment ref="W4" authorId="0">
      <text>
        <r>
          <rPr>
            <sz val="10"/>
            <color rgb="FF000000"/>
            <rFont val="Arial"/>
          </rPr>
          <t>It's not clear why the Haji study is considered a first and second vaccination, given that it is actually the second and third doses in the pentavalent vaccine being studied. One could plausibly argue it should be included here, though the other studies seem to show less of the gap being filled as the vaccine goes on so it shouldn't be included.</t>
        </r>
      </text>
    </comment>
    <comment ref="D5" authorId="0">
      <text>
        <r>
          <rPr>
            <sz val="10"/>
            <color rgb="FF000000"/>
            <rFont val="Arial"/>
          </rPr>
          <t>The baseline here is the rate of the 3rd DPT shot, explicitly listed in Figure 3 in the study.</t>
        </r>
      </text>
    </comment>
    <comment ref="E5" authorId="0">
      <text>
        <r>
          <rPr>
            <sz val="10"/>
            <color rgb="FF000000"/>
            <rFont val="Arial"/>
          </rPr>
          <t>This baseline is estimated from looking at a chart, though the line for this and the intervention group is identical at this point so the original GW estimate is used, which Marcus verified as well, for the intervention arm for shot 1.</t>
        </r>
      </text>
    </comment>
    <comment ref="F5" authorId="0">
      <text>
        <r>
          <rPr>
            <sz val="10"/>
            <color rgb="FF000000"/>
            <rFont val="Arial"/>
          </rPr>
          <t>Estimated by looking at Figure 3 in Eze</t>
        </r>
      </text>
    </comment>
    <comment ref="I5" authorId="0">
      <text>
        <r>
          <rPr>
            <sz val="10"/>
            <color rgb="FF000000"/>
            <rFont val="Arial"/>
          </rPr>
          <t>Without actual data from the author, these estimates, and the ones for DPT2, look pretty accurate. Marcus took a screenshot of the chart they were using, zoomed in on it, and used guides in Photoshop to try to get an accurate read on the numbers. Marcus reached just about this conclusion (though he knew what GW's estimates were before doing so) and given the indeterminate nature of such a method of inquiry, I'd leave these estimates for DPT1 and DPT2 as is.</t>
        </r>
      </text>
    </comment>
    <comment ref="O5" authorId="0">
      <text>
        <r>
          <rPr>
            <sz val="10"/>
            <color rgb="FF000000"/>
            <rFont val="Arial"/>
          </rPr>
          <t>The control and intervention here are taken directly from the study. The other control treatment differences are not directly reported in the study. No figures are given for them and thus, any estimate will be a guess unless we directly follow-up with the author.</t>
        </r>
      </text>
    </comment>
    <comment ref="D6" authorId="0">
      <text>
        <r>
          <rPr>
            <sz val="10"/>
            <color rgb="FF000000"/>
            <rFont val="Arial"/>
          </rPr>
          <t>The baseline here is the third dose pentavalent vaccination rate.</t>
        </r>
      </text>
    </comment>
    <comment ref="E6" authorId="0">
      <text>
        <r>
          <rPr>
            <sz val="10"/>
            <color rgb="FF000000"/>
            <rFont val="Arial"/>
          </rPr>
          <t>Estimates for Bangure seem to apply to coverage at the weeks of 6,10, and 14. This is backed up by the fact they list the DPT3 vaccination rate at 83%, but the pentavalent 3 rate is 74%. If so, it makes more sense to use the coverage at the given week, though this will be not exactly as follow-up for the study is not exactly at the given week the vaccine is due. Nonetheless, it is far closer to the given date than the general timeline for vaccination rate estimation, 12-23 months.
This difference in DPT3 and pentavalent 3 could also be caused by uneven rollout of pentavalent replacing DPT.</t>
        </r>
      </text>
    </comment>
    <comment ref="G16" authorId="0">
      <text>
        <r>
          <rPr>
            <sz val="10"/>
            <color rgb="FF000000"/>
            <rFont val="Arial"/>
          </rPr>
          <t>Taken from Haji et al., p. 2</t>
        </r>
      </text>
    </comment>
    <comment ref="G17" authorId="0">
      <text>
        <r>
          <rPr>
            <sz val="10"/>
            <color rgb="FF000000"/>
            <rFont val="Arial"/>
          </rPr>
          <t>Taken from Haji et al., p. 2</t>
        </r>
      </text>
    </comment>
  </commentList>
</comments>
</file>

<file path=xl/comments9.xml><?xml version="1.0" encoding="utf-8"?>
<comments xmlns="http://schemas.openxmlformats.org/spreadsheetml/2006/main">
  <authors>
    <author>Author</author>
  </authors>
  <commentList>
    <comment ref="H6" authorId="0">
      <text>
        <r>
          <rPr>
            <sz val="10"/>
            <color rgb="FF000000"/>
            <rFont val="Arial"/>
          </rPr>
          <t>The CEA doesn't currently incorporate vaccinations that take place after 9 months except for MCV 2.
Marcus calculated that if there is 5% loss of phone numbers by 9 months for MCV1, and 10% by 16 months for MCV2, the estimated change from current cost is ~2%.</t>
        </r>
      </text>
    </comment>
    <comment ref="H7" authorId="0">
      <text>
        <r>
          <rPr>
            <sz val="10"/>
            <color rgb="FF000000"/>
            <rFont val="Arial"/>
          </rPr>
          <t>No intentions in the short or medium term to include paid vaccinations in the messaging program and when we add them they will go directly in the main CEA.</t>
        </r>
      </text>
    </comment>
    <comment ref="H9" authorId="0">
      <text>
        <r>
          <rPr>
            <sz val="10"/>
            <color rgb="FF000000"/>
            <rFont val="Arial"/>
          </rPr>
          <t xml:space="preserve">This is an effect on the national estimate, but the impact of adding JEV would only exist in the statIis vaccinated against.
The impact would likely be larger than 5% in Assam, Uttar Pradesh, West Bengal, Odisha, and Bihar. Elsewher it would be basically nonexistent.
Marcus did a very rough back of the envelope addition of JEV to the CEA which resulted in a ~5% difference in cost.
Distribution from - http://nvbdcp.gov.in/Doc/je-aes-cd-Jan17.pdf </t>
        </r>
      </text>
    </comment>
    <comment ref="B14" authorId="0">
      <text>
        <r>
          <rPr>
            <sz val="10"/>
            <color rgb="FF000000"/>
            <rFont val="Arial"/>
          </rPr>
          <t>General background - 
Kim et al. 2011 - https://www.ncbi.nlm.nih.gov/pmc/articles/PMC3171704/
Fine et al. 2011 - https://academic.oup.com/cid/article/52/7/911/299077/Herd-Immunity-A-Rough-Guide</t>
        </r>
      </text>
    </comment>
    <comment ref="B15" authorId="0">
      <text>
        <r>
          <rPr>
            <sz val="10"/>
            <color rgb="FF000000"/>
            <rFont val="Arial"/>
          </rPr>
          <t>General background - 
Kim et al. 2011 - https://www.ncbi.nlm.nih.gov/pmc/articles/PMC3171704/
Fine et al. 2011 - https://academic.oup.com/cid/article/52/7/911/299077/Herd-Immunity-A-Rough-Guide</t>
        </r>
      </text>
    </comment>
  </commentList>
</comments>
</file>

<file path=xl/sharedStrings.xml><?xml version="1.0" encoding="utf-8"?>
<sst xmlns="http://schemas.openxmlformats.org/spreadsheetml/2006/main" count="1240" uniqueCount="461">
  <si>
    <t>Country:</t>
  </si>
  <si>
    <t xml:space="preserve">                                                                                                     </t>
  </si>
  <si>
    <t>Cost per child reached</t>
  </si>
  <si>
    <t>India</t>
  </si>
  <si>
    <t>Costs Per Child Reached</t>
  </si>
  <si>
    <t>Regions:</t>
  </si>
  <si>
    <t>National, Rajasthan, Gujarat</t>
  </si>
  <si>
    <t>National estimates are in the 'CEA estimate' tab and regional estimates calculations are provided in the 'Specific Location Estimates' tab.</t>
  </si>
  <si>
    <t>Program Costs:</t>
  </si>
  <si>
    <t>Messaging and Acquiring Contacts</t>
  </si>
  <si>
    <t>A breakdown of program costs are in 'New Implementation Costs'</t>
  </si>
  <si>
    <t>Timeline:</t>
  </si>
  <si>
    <t>3 years</t>
  </si>
  <si>
    <t>Note</t>
  </si>
  <si>
    <t>Summary statistics assume program is running for 3 years</t>
  </si>
  <si>
    <t>Gujarat and Rajasthan Split</t>
  </si>
  <si>
    <t>Cost per life saved with 50/50 RFP and Public hospital costs</t>
  </si>
  <si>
    <t>Vaccines</t>
  </si>
  <si>
    <t>Delhi</t>
  </si>
  <si>
    <t>Hyderabad</t>
  </si>
  <si>
    <t>Gujarat</t>
  </si>
  <si>
    <t>Rajasthan</t>
  </si>
  <si>
    <t>Gujarat and Rajasthan Average</t>
  </si>
  <si>
    <t>Cost per life saved with local contact costs</t>
  </si>
  <si>
    <t>NFHS-4 derived 1</t>
  </si>
  <si>
    <t>National</t>
  </si>
  <si>
    <t>Total deaths averted 5 years at scale</t>
  </si>
  <si>
    <t>Total DALYs averted 5 years at scale</t>
  </si>
  <si>
    <t>Cost (US$) per death averted</t>
  </si>
  <si>
    <t>Morbidity</t>
  </si>
  <si>
    <t>&lt; 5 YLDs - GBD rate per person (from rate per 100,000)</t>
  </si>
  <si>
    <t>&lt; 5 YLL rate per person (from GBD rate per 100,00)</t>
  </si>
  <si>
    <t>&lt; 5 DALYs - GBD rate per person (from rate per 100,000)</t>
  </si>
  <si>
    <t>&lt; 5 Death rate per person GBD (from rate per 100,000)</t>
  </si>
  <si>
    <t xml:space="preserve">&lt; 5 YLL total - GBD </t>
  </si>
  <si>
    <t>&lt; 5 Deaths total - GBD deaths</t>
  </si>
  <si>
    <t>&lt; 5 Years of Life Lost per death - GBD YLL divided by deaths</t>
  </si>
  <si>
    <t>&lt;5 YLL per person unvaccinated - Our estimates</t>
  </si>
  <si>
    <t>&lt; 5 DALYs per person unvaccinated - Our YLL + GBD YLD</t>
  </si>
  <si>
    <t>YLD Sources</t>
  </si>
  <si>
    <t>Pertussis</t>
  </si>
  <si>
    <t>GBD estimate of pertussis of 18.21 (CI 10.86-27.9) per 100,000 for under 5 YLD; All cause YLD under 5 estimate of Indian is 6,804.03 per 100,000 in 2015. All population, not unvaccinated specific (underestimate). GBD link - http://ihmeuw.org/40nx</t>
  </si>
  <si>
    <t>Diptheria</t>
  </si>
  <si>
    <t>GBD estimate of diptheria of 0.00087 (CI 0.00037-0.0017) per 100,000 for under 5 YLD; All cause YLD under 5 estimate of Indian is 6,804.03 per 100,000 in 2015. All population, not unvaccinated specific (underestimate). GBD link - http://ihmeuw.org/40nw</t>
  </si>
  <si>
    <t>Tetanus</t>
  </si>
  <si>
    <t>Estimated cost per child at scale</t>
  </si>
  <si>
    <t>This estimate is based on studies on SMS immunization reminders as well as current estimates of program costs at scale</t>
  </si>
  <si>
    <t>GBD estimate of tetanus of 0.44 (CI 0.3-0.63) per 100,000 for under 5 YLD; All cause YLD under 5 estimate of Indian is 6,804.03 per 100,000 in 2015. All population, not unvaccinated specific (underestimate). GBD link - http://ihmeuw.org/40nv</t>
  </si>
  <si>
    <t>Measles</t>
  </si>
  <si>
    <t>Cost per life saved</t>
  </si>
  <si>
    <t>NFHS4 and WHO</t>
  </si>
  <si>
    <t>GBD estimate of measles 3.06 (CI 1.1-6.82) per 100,000 for under 5 YLD; All cause YLD under 5 estimate of Indian is 6,804.03 per 100,000 in 2015. All population, not unvaccinated specific (underestimate). GBD link - http://ihmeuw.org/40nu</t>
  </si>
  <si>
    <t>Hib pneumonia</t>
  </si>
  <si>
    <t>GW Origin Alternate</t>
  </si>
  <si>
    <t>GBD estimate of Hib pneumonia 8.67 (CI -0.56-52.28) per 100,000 for under 5 YLD; All cause YLD under 5 estimate of Indian is 6,804.03 per 100,000 in 2015. All population, not unvaccinated specific (underestimate). GBD link - http://ihmeuw.org/40nt</t>
  </si>
  <si>
    <t>Hib meningitis</t>
  </si>
  <si>
    <t>Cost not including rotavirus, PCV, or rubella</t>
  </si>
  <si>
    <t>NFHS-4 no rotavirus, PCV, rubella</t>
  </si>
  <si>
    <t>Morbidity Cost effectiveness</t>
  </si>
  <si>
    <t>NFHS4 and WHO YLD</t>
  </si>
  <si>
    <t>GBD estimate of Hib meningitis 5.41 (CI 3.7-7.44) per 100,000 for under 5 YLD; All cause YLD under 5 estimate of Indian is 6,804.03 per 100,000 in 2015. All population, not unvaccinated specific (underestimate). GBD link - http://ihmeuw.org/40ns</t>
  </si>
  <si>
    <t>NFHS4 and WHODALYs</t>
  </si>
  <si>
    <t>Hep B</t>
  </si>
  <si>
    <t>Cost per prevention</t>
  </si>
  <si>
    <t>RSOC derived 2</t>
  </si>
  <si>
    <t>Cost per prevention no rotavirus, PCV, rubella</t>
  </si>
  <si>
    <t>RSOC no rotavirus, PCV, rubella</t>
  </si>
  <si>
    <t>Efficacy of vaccines in preventing contraction</t>
  </si>
  <si>
    <t>GBD estimate of hepatitis B 0.32  (CI 0.2-0.5) per 100,000 for under 5 deaths; YLD. All cause YLD under 5 estimate of Indian is 6,804.03 per 100,000 in 2015. All population, not unvaccinated specific (underestimate). GBD link - http://ihmeuw.org/40nq</t>
  </si>
  <si>
    <t>Baseline coverage estimates</t>
  </si>
  <si>
    <t>Rubella</t>
  </si>
  <si>
    <t>Dose 1</t>
  </si>
  <si>
    <t>Dose 2</t>
  </si>
  <si>
    <t>Dose 3</t>
  </si>
  <si>
    <t>NFHS4 and WHO Dose 1</t>
  </si>
  <si>
    <t>NFHS4 and WHO Dose 2</t>
  </si>
  <si>
    <t>NFHS4 and WHO Dose 3</t>
  </si>
  <si>
    <t>GW derived dose 1</t>
  </si>
  <si>
    <t>GW derived dose 2</t>
  </si>
  <si>
    <t>GW derived dose 3</t>
  </si>
  <si>
    <t>Cost per DALY prevented with 50/50 RFP and Public hospital costs</t>
  </si>
  <si>
    <t>RSOC and WHO Dose 1</t>
  </si>
  <si>
    <t>RSOC and WHO Dose 2</t>
  </si>
  <si>
    <t>RSOC and WHO Dose 3</t>
  </si>
  <si>
    <t>WHO dose 1</t>
  </si>
  <si>
    <t>WHO dose 2</t>
  </si>
  <si>
    <t>WHO dose 3</t>
  </si>
  <si>
    <t>Cost per YLD prevented with 50/50 RFP and Public hospital costs</t>
  </si>
  <si>
    <t>Rotavirus</t>
  </si>
  <si>
    <t>Diphtheria</t>
  </si>
  <si>
    <t>GBD estimate of rotaviral enteritis 90.74  (CI 47.53-157.54) per 100,000 for under 5 deaths; YLD. All cause YLD under 5 estimate of Indian is 6,804.03 per 100,000 in 2015. All population, not unvaccinated specific (underestimate). GBD link - http://ihmeuw.org/40np</t>
  </si>
  <si>
    <t>Pneumococcal pneumonia</t>
  </si>
  <si>
    <t>GBD estimate of pneumonoccal pneumonia 33.75 (CI 17.7-52.28) per 100,000 for under 5 YLD; All cause YLD under 5 estimate of Indian is 6,804.03 per 100,000 in 2015. All population, not unvaccinated specific (underestimate). GBD link - http://ihmeuw.org/40nm</t>
  </si>
  <si>
    <t>Pneumococcal meningitis</t>
  </si>
  <si>
    <t>GBD estimate of pneumonoccal meningitis of 7.97 (CI 5.52-10.99) per 100,000 for under 5 YLD. All cause YLD under 5 estimate of Indian is 6,804.03 per 100,000 in 2015. All population, not unvaccinated specific (underestimate). GBD link - http://ihmeuw.org/40nl</t>
  </si>
  <si>
    <t>Typhoid</t>
  </si>
  <si>
    <t>Lives saved per child reached</t>
  </si>
  <si>
    <t>GBD estimate of typhoid fever 17.15 (CI 11.48-24.57) per 100,000 for under 5 5 YLD. All cause YLD under 5 estimate of Indian is 6,804.03 per 100,000 in 2015. All population, not unvaccinated specific (underestimate). GBD link - http://ihmeuw.org/40no</t>
  </si>
  <si>
    <t>Vitamin A</t>
  </si>
  <si>
    <t>GBD estimate of vitamin A deficiency of (CI 3.28-10.76) per 100,000 for under 5 YLD. All cause YLD under 5 estimate of Indian is 6,804.03 per 100,000 in 2015. All population, not unvaccinated specific (underestimate). GBD link - http://ihmeuw.org/40nn</t>
  </si>
  <si>
    <t>Average</t>
  </si>
  <si>
    <t>DALYs prevented per child reached</t>
  </si>
  <si>
    <t>YLD prevented per child reached</t>
  </si>
  <si>
    <t>Total</t>
  </si>
  <si>
    <t>Pneumococcal conjugate</t>
  </si>
  <si>
    <t>Other interventions</t>
  </si>
  <si>
    <t>Breastfeeding</t>
  </si>
  <si>
    <t>PC placeholder</t>
  </si>
  <si>
    <t>Pneumonia</t>
  </si>
  <si>
    <t>Diarrhea</t>
  </si>
  <si>
    <t>Lives saved per year total at scale</t>
  </si>
  <si>
    <t>Gujarat and Rajasthan Combined</t>
  </si>
  <si>
    <t>Excluded vaccines: BCG and HepB 0 (adminstered at birth), all polio vaccines (disease eliminated), tetanus (pre-natal and post age 5), Japanese encephalitis (regional)</t>
  </si>
  <si>
    <t>Other factors</t>
  </si>
  <si>
    <t>Proportion of vaccination gap closed by SMS intervention</t>
  </si>
  <si>
    <t>What proportion of gap would be closed by SMS?</t>
  </si>
  <si>
    <t>Population Estimates</t>
  </si>
  <si>
    <t>Discounts</t>
  </si>
  <si>
    <t>Factors not accounted for uncertainty discount</t>
  </si>
  <si>
    <t>Age period</t>
  </si>
  <si>
    <t>National Population</t>
  </si>
  <si>
    <t>Fraction of Time of Life out of 85.5 years</t>
  </si>
  <si>
    <t>PCV additional uncertainty penalty</t>
  </si>
  <si>
    <t>0-6 weeks</t>
  </si>
  <si>
    <t>Tetanus discount</t>
  </si>
  <si>
    <t>Percentage point increase in vaccinations received with SMS intervention</t>
  </si>
  <si>
    <t>DALYs prevented per year total at scale</t>
  </si>
  <si>
    <t>YLD prevented per year total at scale</t>
  </si>
  <si>
    <t>6-10 weeks</t>
  </si>
  <si>
    <t>10-14 weeks</t>
  </si>
  <si>
    <t>14w - 9m</t>
  </si>
  <si>
    <t>9-15 months</t>
  </si>
  <si>
    <t>15-18 months</t>
  </si>
  <si>
    <t>18-24 months</t>
  </si>
  <si>
    <t>24-60 months</t>
  </si>
  <si>
    <t>5-14 years</t>
  </si>
  <si>
    <t>15-49 years</t>
  </si>
  <si>
    <t>50-69 years</t>
  </si>
  <si>
    <t>70+ years</t>
  </si>
  <si>
    <t>Baseline National coverage estimates</t>
  </si>
  <si>
    <t>Total deaths</t>
  </si>
  <si>
    <t>Vaccinated scenario</t>
  </si>
  <si>
    <t># of individuals</t>
  </si>
  <si>
    <t># of completely unvaccinated individuals</t>
  </si>
  <si>
    <t># of individuals with only 1 dose</t>
  </si>
  <si>
    <t># of individuals with only 2 doses</t>
  </si>
  <si>
    <t># of individuals with 3 doses</t>
  </si>
  <si>
    <t># of vaccinated but vulnerable individuals</t>
  </si>
  <si>
    <t># of individuals vulnerable without intervention</t>
  </si>
  <si>
    <t>Unvaccinated population's percentage of the vulnerable population</t>
  </si>
  <si>
    <t>Percentage of deaths in each age group</t>
  </si>
  <si>
    <t>Percentage of all deaths occurring in the unvaccinated population</t>
  </si>
  <si>
    <t>Number of deaths in the total population in each age group</t>
  </si>
  <si>
    <t>Number of deaths in each age group for the unvaccinated</t>
  </si>
  <si>
    <t>Vaccine efficacy - Dose 1</t>
  </si>
  <si>
    <t>Vaccine efficacy - Dose 1 + Dose 2</t>
  </si>
  <si>
    <t>Vaccine efficacy - Dose 1 + Dose 2 + Dose 3</t>
  </si>
  <si>
    <t>death rate per person for unvaccinated</t>
  </si>
  <si>
    <t>death rate per person for vaccinated</t>
  </si>
  <si>
    <t>Under 5 unvaccinated death rate</t>
  </si>
  <si>
    <t>Under 5 after intervention unvaccinated death rate</t>
  </si>
  <si>
    <t>P</t>
  </si>
  <si>
    <t>UvP</t>
  </si>
  <si>
    <t>VVP</t>
  </si>
  <si>
    <t>UvP + VVP</t>
  </si>
  <si>
    <t>PDAG</t>
  </si>
  <si>
    <t>PDUvP</t>
  </si>
  <si>
    <t>PDAG * PDUvP</t>
  </si>
  <si>
    <t>NDUvP</t>
  </si>
  <si>
    <t>NDUvP / UvP</t>
  </si>
  <si>
    <t>The estimates above are based on the proportion of the gap covered in the four strongest studies we've found. The proportion is converted into a percentage point estimate and multiplied by an uncertainty factor.</t>
  </si>
  <si>
    <t>Average fatality rate for immunization-preventable diseases among completely unvaccinated Indian children</t>
  </si>
  <si>
    <t>Source</t>
  </si>
  <si>
    <t>GW "Incentives for immunization CEA 03-16-16" on the Summary tab</t>
  </si>
  <si>
    <t>Death Rate Estimates tab - unvaccinated under 5 death rate after intervention</t>
  </si>
  <si>
    <t>GBD estimate of rotaviral enteritis 17.19  (CI 10.59-27.35) per 100,000 for under 5 deaths; all cause mortality under 5 estimate of Indian under 5 population as well as under 5 mortality rate in India as 1016.86 per 100,000 in 2015. All population, not unvaccinated specific (underestimate). GBD link - http://ihmeuw.org/400v</t>
  </si>
  <si>
    <t>GBD estimate of pneumonoccal pneumonia 66.38 (CI 41.16-90.26) per 100,000 for under 5 deaths; all cause mortality under 5 estimate of Indian under 5 population as well as under 5 mortality rate in India as 1016.86 per 100,000 in 2015. All population, not unvaccinated specific (underestimate). GBD link - http://ihmeuw.org/400g</t>
  </si>
  <si>
    <t>GBD estimate of pneumonoccal meningitis of 4.83 (CI 3.29-7.35) per 100,000 for under 5 deaths. all cause mortality under 5 estimate of Indian under 5 population as well as under 5 mortality rate in India as 1016.86 per 100,000 in 2015. All population, not unvaccinated specific (underestimate). GBD link - http://ihmeuw.org/400i</t>
  </si>
  <si>
    <t>GBD estimate of typhoid fever 15.89 (CI 8.42-27.83) per 100,000 for under 5 deaths; all cause mortality under 5 estimate of Indian under 5 population as well as under 5 mortality rate in India as 1016.86 per 100,000 in 2015. All population, not unvaccinated specific (underestimate). GBD link - http://ihmeuw.org/400t</t>
  </si>
  <si>
    <t>GBD estimate of 0 per 100,000 for under 5 deaths; all cause mortality under 5 estimate of Indian under 5 population as well as under 5 mortality rate in India as 1016.86 per 100,000 in 2015. All population, not unvaccinated specific (underestimate). GBD link - http://ihmeuw.org/4096</t>
  </si>
  <si>
    <t>Immunization-preventable deaths averted by increased immunization coverage per child reached</t>
  </si>
  <si>
    <t>Proportion of gap closed</t>
  </si>
  <si>
    <t>What proportion of gap is reduced by SMS?</t>
  </si>
  <si>
    <t>Discount for uncertainty/things are always worse than they seem</t>
  </si>
  <si>
    <t>Baseline Coverage Estimates by Location</t>
  </si>
  <si>
    <t>Delhi - NFHS4 Dose 1</t>
  </si>
  <si>
    <t>Delhi - NFHS4 Dose 2</t>
  </si>
  <si>
    <t>Delhi - NFHS4 Dose 3</t>
  </si>
  <si>
    <t>Delhi - RSOC Dose 1</t>
  </si>
  <si>
    <t>Delhi - RSOC Dose 2</t>
  </si>
  <si>
    <t>Delhi - RSOC Dose 3</t>
  </si>
  <si>
    <t>Hyderabad - NFHS4 Dose 1</t>
  </si>
  <si>
    <t>Hyderabad - NFHS4 Dose 2</t>
  </si>
  <si>
    <t>Hyderabad - NFHS4 Dose 3</t>
  </si>
  <si>
    <t>Hyderabad - RSOC Dose 1</t>
  </si>
  <si>
    <t>Hyderabad - RSOC Dose 2</t>
  </si>
  <si>
    <t>Hyderabad - RSOC Dose 3</t>
  </si>
  <si>
    <t>DALYs and YLD from RSOC and WHO</t>
  </si>
  <si>
    <t>Gujarat - NFHS4 Dose 1</t>
  </si>
  <si>
    <t>Gujarat - NFHS4 Dose 2</t>
  </si>
  <si>
    <t>Gujarat - NFHS4 Dose 3</t>
  </si>
  <si>
    <t>YLD Dose 1</t>
  </si>
  <si>
    <t>YLD Dose 2</t>
  </si>
  <si>
    <t>YLD Dose 3</t>
  </si>
  <si>
    <t>DALYs Dose 1</t>
  </si>
  <si>
    <t>DALYs Dose 2</t>
  </si>
  <si>
    <t>DALYs Dose 3</t>
  </si>
  <si>
    <t>Gujarat - RSOC Dose 1</t>
  </si>
  <si>
    <t>Gujarat - RSOC Dose 2</t>
  </si>
  <si>
    <t>Gujarat - RSOC Dose 3</t>
  </si>
  <si>
    <t>Rajasthan - NFHS4 Dose 1</t>
  </si>
  <si>
    <t>Rajasthan - NFHS4 Dose 2</t>
  </si>
  <si>
    <t>Rajasthan - NFHS4 Dose 3</t>
  </si>
  <si>
    <t>Rajasthan - RSOC Dose 1</t>
  </si>
  <si>
    <t>Rajasthan - RSOC Dose 2</t>
  </si>
  <si>
    <t>Rajasthan - RSOC Dose 3</t>
  </si>
  <si>
    <t>Total Lives Saved</t>
  </si>
  <si>
    <t>Percentage Point Increase by Location</t>
  </si>
  <si>
    <t>Lives Saved</t>
  </si>
  <si>
    <t>YLD</t>
  </si>
  <si>
    <t>DALYs</t>
  </si>
  <si>
    <t>National estimates</t>
  </si>
  <si>
    <t>Total lives saved per child reached</t>
  </si>
  <si>
    <t>Total lives - no rotarvirus, PCV, or rubella</t>
  </si>
  <si>
    <t>Total lives - no rotarvirus</t>
  </si>
  <si>
    <t>Total lives - no PCV</t>
  </si>
  <si>
    <t>Children reached to save a 1 life all vaccines</t>
  </si>
  <si>
    <t>Children reached to prevent 1</t>
  </si>
  <si>
    <t>Total lives saved per year at scale</t>
  </si>
  <si>
    <t>Prevented per year at scale</t>
  </si>
  <si>
    <t>Fixed yearly costs</t>
  </si>
  <si>
    <t>01-07 2017</t>
  </si>
  <si>
    <t>2017-18</t>
  </si>
  <si>
    <t>Scale</t>
  </si>
  <si>
    <t>Cost Estimates</t>
  </si>
  <si>
    <t>Technology Costs - Fixed</t>
  </si>
  <si>
    <t>Inputs</t>
  </si>
  <si>
    <t xml:space="preserve">Platform cost per year </t>
  </si>
  <si>
    <t>All Fixed and upfront costs</t>
  </si>
  <si>
    <t>Backup storage hosting cost per year</t>
  </si>
  <si>
    <t>Staff Fixed and Study Grants Costs</t>
  </si>
  <si>
    <t>Numbers per year if doing both NGO partners and direct</t>
  </si>
  <si>
    <t>Staff Costs Yearly - Fixed</t>
  </si>
  <si>
    <t>Numbers per year if just doing both NGO partners</t>
  </si>
  <si>
    <t>Staff cost Vancouver</t>
  </si>
  <si>
    <t>Numbers per year if just doing Direct</t>
  </si>
  <si>
    <t>Staff cost India</t>
  </si>
  <si>
    <t xml:space="preserve">Numbers per year if just doing one Vremind </t>
  </si>
  <si>
    <t>Numbers per year if just doing one QFR</t>
  </si>
  <si>
    <t>Numbers per year if doing QFR and Direct</t>
  </si>
  <si>
    <t>Cost for each AQ strat at 100% fixed/upfront costs</t>
  </si>
  <si>
    <t>Cost of contact maintenance</t>
  </si>
  <si>
    <t>RFP - QFR</t>
  </si>
  <si>
    <t>Messaging details</t>
  </si>
  <si>
    <t>Public hopstials</t>
  </si>
  <si>
    <t>Cost per message sent - Cell Provider</t>
  </si>
  <si>
    <t>Vremind</t>
  </si>
  <si>
    <t>Number of years keeping contacts</t>
  </si>
  <si>
    <t>Number of messages sent per contact</t>
  </si>
  <si>
    <t>Cost for each AQ strat at 50% fixed/upfront costs</t>
  </si>
  <si>
    <t>Number of messages sent per contact per year</t>
  </si>
  <si>
    <t>Number of messages sent per contact per month</t>
  </si>
  <si>
    <t>Acquiring numbers cost</t>
  </si>
  <si>
    <t>Public hopstials and RFP - QFR average</t>
  </si>
  <si>
    <t>Lives Saved per person by Location</t>
  </si>
  <si>
    <t>RFP Partner Acquiring Costs</t>
  </si>
  <si>
    <t>RFP Project Grants</t>
  </si>
  <si>
    <t>Cost for each AQ strat at 33% fixed/upfront costs</t>
  </si>
  <si>
    <t>Contacts acquiried via RFP grant</t>
  </si>
  <si>
    <t>Cost per contact aquired</t>
  </si>
  <si>
    <t>Public Hopstial Acquiring Costs</t>
  </si>
  <si>
    <t>Hospital Staff cost</t>
  </si>
  <si>
    <t>Cost for each AQ strat at 0% fixed/upfront costs</t>
  </si>
  <si>
    <t>Number of Hospital staff</t>
  </si>
  <si>
    <t>Hospital Staff managers</t>
  </si>
  <si>
    <t>Number of Hospital Staff Managers</t>
  </si>
  <si>
    <t>Contacts acquired per year per additional hospital staff</t>
  </si>
  <si>
    <t>Total Costs</t>
  </si>
  <si>
    <t>Contacts acquired</t>
  </si>
  <si>
    <t>Cost per life saved for each at 50% fixed costs at scale in correct locations</t>
  </si>
  <si>
    <t>Vremind Acquiring  Costs</t>
  </si>
  <si>
    <t>Cost per contact aquired and maintained</t>
  </si>
  <si>
    <t>Number of people acquired</t>
  </si>
  <si>
    <t>Best guess cost per life saved RFP + Public hopstials 50/50 (450k people)</t>
  </si>
  <si>
    <t>Initial upfront costs</t>
  </si>
  <si>
    <t>Technology Costs - One Time</t>
  </si>
  <si>
    <t>Phone Costs - Run Platform</t>
  </si>
  <si>
    <t>Test Phone Costs</t>
  </si>
  <si>
    <t>Study and M/E costs</t>
  </si>
  <si>
    <t>Study Grants</t>
  </si>
  <si>
    <t>RCT one off</t>
  </si>
  <si>
    <t>GBD Population and rate estimates</t>
  </si>
  <si>
    <t>Total Deaths &lt; 5</t>
  </si>
  <si>
    <t>Death rate &lt; 5</t>
  </si>
  <si>
    <t>Population &lt; 5</t>
  </si>
  <si>
    <t>Total Deaths 5 - 14 years</t>
  </si>
  <si>
    <t>Death rate 5 - 14 years</t>
  </si>
  <si>
    <t>Population 5 - 14 years</t>
  </si>
  <si>
    <t>Total Deaths 15 - 49 years</t>
  </si>
  <si>
    <t>Death rate 15 - 49 years</t>
  </si>
  <si>
    <t>Population 15 - 49 years</t>
  </si>
  <si>
    <t>Total Deaths 50 - 69 years</t>
  </si>
  <si>
    <t>Death rate 50 - 69 years</t>
  </si>
  <si>
    <t>Population 50 - 69 years</t>
  </si>
  <si>
    <t>Total Deaths 70+</t>
  </si>
  <si>
    <t>Death rate 70+</t>
  </si>
  <si>
    <t>Population 70+</t>
  </si>
  <si>
    <t>Total Deaths All ages</t>
  </si>
  <si>
    <t>Death rate All ages</t>
  </si>
  <si>
    <t>Population All ages</t>
  </si>
  <si>
    <t>All Causes of Death</t>
  </si>
  <si>
    <t>Population estimates</t>
  </si>
  <si>
    <t>Total Population</t>
  </si>
  <si>
    <t>Alt Population</t>
  </si>
  <si>
    <t>Fraction of total population</t>
  </si>
  <si>
    <t>Fraction of &lt; 5 population</t>
  </si>
  <si>
    <t>Fraction of &lt; 2 population</t>
  </si>
  <si>
    <t>Fraction of deaths in each age group total</t>
  </si>
  <si>
    <t>Pertussis Fraction of deaths in each age group total</t>
  </si>
  <si>
    <t>Diptheria Fraction of deaths in each age group total</t>
  </si>
  <si>
    <t>Tetanus Fraction of deaths in each age group total</t>
  </si>
  <si>
    <t>Measles Fraction of deaths in each age group total</t>
  </si>
  <si>
    <t>Hib pneumonia Fraction of deaths in each age group total</t>
  </si>
  <si>
    <t>Hib meningitis Fraction of deaths in each age group total</t>
  </si>
  <si>
    <t>Hep B Fraction of deaths in each age group total</t>
  </si>
  <si>
    <t>Rubella Fraction of deaths in each age group total</t>
  </si>
  <si>
    <t>Rotavirus Fraction of deaths in each age group total</t>
  </si>
  <si>
    <t>PC pneumonia Fraction of deaths in each age group total</t>
  </si>
  <si>
    <t>PC meningitis Fraction of deaths in each age group total</t>
  </si>
  <si>
    <t>Typhoid Fraction of deaths in each age group total</t>
  </si>
  <si>
    <t>Vitamin A Fraction of deaths in each age group total</t>
  </si>
  <si>
    <t>Under 6 weeks</t>
  </si>
  <si>
    <t>Between 6 and 10 weeks</t>
  </si>
  <si>
    <t>Between 10 and 14 weeks</t>
  </si>
  <si>
    <t>Between 14w and 9m</t>
  </si>
  <si>
    <t>Between 9m and 15m</t>
  </si>
  <si>
    <t>Between 15m and 18m</t>
  </si>
  <si>
    <t>Between 18m and 24m</t>
  </si>
  <si>
    <t>Between 24m and 60m</t>
  </si>
  <si>
    <t>Under 5 combined</t>
  </si>
  <si>
    <t>Between 5 and 14 years</t>
  </si>
  <si>
    <t>YLD averted per person by Location</t>
  </si>
  <si>
    <t>Between 15 and 49 years</t>
  </si>
  <si>
    <t>Between 50 and 69 years</t>
  </si>
  <si>
    <t>All ages</t>
  </si>
  <si>
    <t>&lt; 5 Mortality - GBD totals</t>
  </si>
  <si>
    <t>2015 - Estimate</t>
  </si>
  <si>
    <t>2015 - Low</t>
  </si>
  <si>
    <t>2015 - High</t>
  </si>
  <si>
    <t>2010 - Estimate</t>
  </si>
  <si>
    <t>2010 - Low</t>
  </si>
  <si>
    <t>2010 - High</t>
  </si>
  <si>
    <t>&lt; 5 Mortality - GBD rate per person (from rate per 100,000)</t>
  </si>
  <si>
    <t>&lt; 5 DALYs - GBD totals</t>
  </si>
  <si>
    <t>&lt; 5 YLD - GBD totals</t>
  </si>
  <si>
    <t>Decrease per year - Estimate</t>
  </si>
  <si>
    <t>Decrease per year - Low</t>
  </si>
  <si>
    <t>Decrease per year - High</t>
  </si>
  <si>
    <t>&lt; 5 YLD - GBD rate per person (from rate per 100,000)</t>
  </si>
  <si>
    <t>All age Mortality - GBD totals</t>
  </si>
  <si>
    <t>YLL &lt; 5 - GBD totals</t>
  </si>
  <si>
    <t>YLL &lt; 5 - rate per person (from rate per 100,000)</t>
  </si>
  <si>
    <t>Sample size</t>
  </si>
  <si>
    <t>Study</t>
  </si>
  <si>
    <t>Location</t>
  </si>
  <si>
    <t>[OLD] Baseline vaccination rates according to Joey's sheet</t>
  </si>
  <si>
    <t>1st vaccine baseline</t>
  </si>
  <si>
    <t>2nd vaccine baseline</t>
  </si>
  <si>
    <t>3rd vaccine baseline</t>
  </si>
  <si>
    <t>Rd1 vaccinations</t>
  </si>
  <si>
    <t>Control Rd1</t>
  </si>
  <si>
    <t>Treatment Rd1</t>
  </si>
  <si>
    <t>Rd2 vaccinations</t>
  </si>
  <si>
    <t>Control Rd2</t>
  </si>
  <si>
    <t>Treatment Rd2</t>
  </si>
  <si>
    <t>Rd3 vaccinations</t>
  </si>
  <si>
    <t>Control Rd3</t>
  </si>
  <si>
    <t>Treatment Rd3</t>
  </si>
  <si>
    <t>First vaccination compared to baseline - % of unvaccinated now vaccinated</t>
  </si>
  <si>
    <t>First vaccination compared to control - % of unvaccinated now vaccinated</t>
  </si>
  <si>
    <t>Second vaccination compared to baseline - % of unvaccinated now vaccinated</t>
  </si>
  <si>
    <t>Second vaccination compared to control - % of unvaccinated now vaccinated</t>
  </si>
  <si>
    <t>Final vaccination compared to baseline - % of unvaccinated now vaccinated</t>
  </si>
  <si>
    <t>Final vaccination compared to control - % of unvaccinated now vaccinated</t>
  </si>
  <si>
    <t>Only looking at studies w/ 3rd vaccination (compared to baseline)</t>
  </si>
  <si>
    <t>Only looking at studies w/ 3rd vaccination (compared to control)</t>
  </si>
  <si>
    <t>Burkina Faso</t>
  </si>
  <si>
    <t>Expanded Program on Immunization (EPI) in Burkina Faso covers BCG, diphtheria, tetanus, pertussis, poliomyelitis, measles, and yellow fever. I'm not sure which of these were in which Rds. Note that they were looking at the 2nd-4th Rd of vaccinations for EPI. (See Katherine's notes and this article: http://bmcinthealthhumrights.biomedcentral.com/articles/10.1186/1472-698X-9-S1-S12)</t>
  </si>
  <si>
    <t>See Rd1 description</t>
  </si>
  <si>
    <t>Kenya</t>
  </si>
  <si>
    <t>10 weeks of age, pentavalent vaccine (2nd dose)</t>
  </si>
  <si>
    <t>14 weeks of age, pentavelent vaccine (3rd dose)</t>
  </si>
  <si>
    <t>N/A (only two rounds included in this study)</t>
  </si>
  <si>
    <t>N/A</t>
  </si>
  <si>
    <t>Nigeria</t>
  </si>
  <si>
    <t>Rd3, listed explicitly in Fig 3 in Eze﻿</t>
  </si>
  <si>
    <t>Factor</t>
  </si>
  <si>
    <t>Notes</t>
  </si>
  <si>
    <t>Effect on CEA</t>
  </si>
  <si>
    <t>Discount Low Estimate</t>
  </si>
  <si>
    <t>Discount High Estimate</t>
  </si>
  <si>
    <t>Joey</t>
  </si>
  <si>
    <t>Mark</t>
  </si>
  <si>
    <t>Marcus</t>
  </si>
  <si>
    <t>Peter</t>
  </si>
  <si>
    <t>Increasing vaccination trends</t>
  </si>
  <si>
    <t xml:space="preserve">Although the trend of increasing vaccinations has somewhat slowed in recent years, coverage of vaccinations still go up every year in most locations, including India over the past 10 years. </t>
  </si>
  <si>
    <t>Negative</t>
  </si>
  <si>
    <t>FLAG: Some figures in this row are based on GW and Marcus estimates based on a chart from the original paper. The image is here: https://drive.google.com/open?id=0B3lpvu9ww5atWkY0bFZsRU11Xzg ---- Also in this prezi: https://prezi.com/wwd79oie7ii-/enhancing-routine-immunization-performance-using-innovative-technology-in-an-urban-area-in-nigeria/</t>
  </si>
  <si>
    <t>Zimbabwe</t>
  </si>
  <si>
    <t>At 6 weeks - OPV1, Penta1 and PCV1</t>
  </si>
  <si>
    <t>10 weeks - OPV2, Penta2 and PCV2</t>
  </si>
  <si>
    <t>14 weeks for OPV3, Penta3 and PCV3</t>
  </si>
  <si>
    <t>Declining vaccine efficacy over time</t>
  </si>
  <si>
    <t>The efficacy of some vaccines declines over time such that after several years, without a booster, a person is more vulnerable to a disease than they were immediately following the vaccination. The CEA assumes the initial efficacy of each vaccination holds constant over time.</t>
  </si>
  <si>
    <t>Immunization delays</t>
  </si>
  <si>
    <t>Some children who have not been vaccinated at the point when surveys are taken (in studies and in national surveys) probably would have been vaccinated eventually (i.e., they're just getting the vaccination late). However, SMS reminders will cause some of these families to get the immunization on time. If the child is vaccinated before results are taken and the study, or program, gives 100% counterfactual credit to the reminder, this will overestimate the effect of the reminder. Some studies on SMS reminders were conducted on fairly long time frames (6 months+), reducing the impact of this effect on their outcomes.</t>
  </si>
  <si>
    <t>Tetanaus is included in the CEA but heavily discounted due to prenatal immunization and declining death rate.</t>
  </si>
  <si>
    <t>Neutral</t>
  </si>
  <si>
    <t>Phone number churn rates</t>
  </si>
  <si>
    <t>Some portion of the population may change phone numbers before completing the entire immunization schedule, which in totality lasts for several years, thus making it impossible to reach them during the later parts of the schedule without getting an updated phone number. The possibility of a change of phone numbers increases over time, which means that given a set of numbers at the beginning of a program, more reminders would be recieved for vaccinations earlier in the schedule than those later in the schedule, which could likely lower the number of additional vaccinations due to the program. The CEA currently assumes no impact on vaccination rate increase based on the time of the vaccination in the schedule.</t>
  </si>
  <si>
    <t>Straight average</t>
  </si>
  <si>
    <t>Adding additional non-free vaccines</t>
  </si>
  <si>
    <t>Many non-free vaccines are already incorporated in the CEA, but there are some additional vaccines that could be added. But given where we are reaching out, and the demographics of those that could pay this does not seem like a high priotiry</t>
  </si>
  <si>
    <t>Postive</t>
  </si>
  <si>
    <t>calculating the unique rates of increases in vaccinations for each vaccination type</t>
  </si>
  <si>
    <t>Japanese encephalitis</t>
  </si>
  <si>
    <t>The effects of the Japanese encephalitis vaccine are not included in the CEA. The vaccine is only reccommended and distributed in certain regions of the country where cases are known to break out (it is covered by the UIP). A few states account for the majority of cases and deaths. Official Indian estimates place the total number of deaths from JE at less than 300 each year since 2011.</t>
  </si>
  <si>
    <t>Positive</t>
  </si>
  <si>
    <t>Cold chains/availability of vaccines</t>
  </si>
  <si>
    <t>Some vaccines that are used may not be effective (or at least have reduced efficacy) due to failures in the cold chain. Some people may show up do to reminders but the health center or hospital may not actually have vaccines at that time.</t>
  </si>
  <si>
    <t>The rotavirus vaccine is being phased in throughout the country. It is currently (as of January 2017) available in four states and scheduled to be introduced in five more states in early 2017, eventually entering other states over the next few years. Thus, before it is fully implemented, the CEA would overestimate the impact of reminders.</t>
  </si>
  <si>
    <t>PCV</t>
  </si>
  <si>
    <t>Sample size weighted average</t>
  </si>
  <si>
    <t>The PCV vaccine is being phased in throughout the country. It is currently (as of January 2017) scheduled to be introduced in states over the next few years with 5 states set for initial release. Thus, before it is fully implemented, the CEA would overestimate the impact of reminders.</t>
  </si>
  <si>
    <t>Receiving immunizations on schedule</t>
  </si>
  <si>
    <t>Some people would have been recieved their vaccinations late without the intervention will likely do so on time (or closer to on time) due to the intervention. Further, the gains from added weeks of coverage may not be linear, with earlier additional weeks between the years of 0-5 more beneficial than later weeks.</t>
  </si>
  <si>
    <t>Herd immunity</t>
  </si>
  <si>
    <t>Additional vaccination coverage reduces the ability of a disease to spread, thus reducing fatalities and disease though the added benefits of each additional vaccination is not linear and depends on the disease's basic reproduction number. For diseases with vaccination coverage rates above the range of herd immunity, additional vaccinations may prevent less deaths and morbidity than estimated figures used in the CEA</t>
  </si>
  <si>
    <t>Reduced cross transmission</t>
  </si>
  <si>
    <t>Additional vaccination coverage reduces the ability of a disease to spread, thus reducing fatalities and disease though the added benefits of each additional vaccination is not linear and depends on the disease's basic reproduction number. For diseases with vaccination coverage rates below the range of herd immunity, additional vaccinations may prevent more deaths and morbidity than our estimated figures used in the CEA.</t>
  </si>
  <si>
    <t>Some contacts after 1st immunization</t>
  </si>
  <si>
    <t>Some contacts we acquire will already have been vaccinated for some diseases. Our primary approach is targeting newborns for whom this factor won't be relevant. For contacts acquired through outreach at the immunization center of hospitals, this is a stronger possibility. We will send messages based on where they are in the schedule.</t>
  </si>
  <si>
    <t>Adding other healthcare messages</t>
  </si>
  <si>
    <t xml:space="preserve">We could ad other healthcare messages such as breastfeeding promotion, nutrition and diagnostic disease information for under 5 childhood (pneumonia diarrhea) to a the estimate. In theory we could add more interventions such as malaria treatment or nutrition reminders. </t>
  </si>
  <si>
    <t>Haji baseline calc</t>
  </si>
  <si>
    <t>Benefits of assisting hospitals in data collection</t>
  </si>
  <si>
    <t>Many of the ways of collecting vaccine sign ups would have the added benefit of improving and collecting data on vaccine and other information for hospitals that are distributing the vaccines. The hospitals see this as a large benefit of the program and strengthening data collection in developing world health care systems is a plausibly effective intervention. However, due to it not being the primary goal and the relatively low scale and cost-effectiveness of this side benefit, it's only likely to have a small positive effect on our CEA</t>
  </si>
  <si>
    <t>Miscellaneous factors</t>
  </si>
  <si>
    <t>Total Estimated Change on CEA assuming we do an RCT on our program</t>
  </si>
  <si>
    <t>District</t>
  </si>
  <si>
    <t>Machakos</t>
  </si>
  <si>
    <t>Langata</t>
  </si>
  <si>
    <t>Njoro</t>
  </si>
  <si>
    <t>All</t>
  </si>
  <si>
    <t>Population</t>
  </si>
  <si>
    <t>Live births</t>
  </si>
  <si>
    <t>1st dose</t>
  </si>
  <si>
    <t>2nd dose extrapolated</t>
  </si>
  <si>
    <t>3rd dose</t>
  </si>
  <si>
    <t>DALYs averted per person by Location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</si>
</sst>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quot;$&quot;#,##0.00"/>
    <numFmt numFmtId="165" formatCode="0.000000000"/>
    <numFmt numFmtId="166" formatCode="0.0000000"/>
    <numFmt numFmtId="167" formatCode="0.0%"/>
    <numFmt numFmtId="168" formatCode="#,##0.00000000"/>
    <numFmt numFmtId="169" formatCode="0.0000000000"/>
    <numFmt numFmtId="170" formatCode="#,##0.0000000"/>
    <numFmt numFmtId="171" formatCode="0.0000"/>
    <numFmt numFmtId="172" formatCode="0.000"/>
    <numFmt numFmtId="173" formatCode="0.000000000000"/>
    <numFmt numFmtId="174" formatCode="&quot;$&quot;#,##0"/>
    <numFmt numFmtId="175" formatCode="&quot;$&quot;#,##0.00000"/>
    <numFmt numFmtId="176" formatCode="0.00000"/>
    <numFmt numFmtId="177" formatCode="#,##0.0"/>
    <numFmt numFmtId="178" formatCode="&quot;$&quot;#,##0.000"/>
    <numFmt numFmtId="179" formatCode="&quot;$&quot;#,##0.0"/>
    <numFmt numFmtId="180" formatCode="#,##0.000"/>
    <numFmt numFmtId="181" formatCode="0.00000000000"/>
    <numFmt numFmtId="182" formatCode="#,##0.000000"/>
    <numFmt numFmtId="183" formatCode="#,##0.0000000000"/>
    <numFmt numFmtId="184" formatCode="#,##0.000000000"/>
  </numFmts>
  <fonts count="29" x14ac:knownFonts="1">
    <font>
      <sz val="10"/>
      <color rgb="FF000000"/>
      <name val="Arial"/>
    </font>
    <font>
      <b/>
      <sz val="10"/>
      <name val="Arial"/>
    </font>
    <font>
      <sz val="11"/>
      <color rgb="FF000000"/>
      <name val="Calibri"/>
    </font>
    <font>
      <sz val="10"/>
      <name val="Arial"/>
    </font>
    <font>
      <b/>
      <sz val="10"/>
      <color rgb="FFFFFFFF"/>
      <name val="Arial"/>
    </font>
    <font>
      <b/>
      <sz val="11"/>
      <color rgb="FF000000"/>
      <name val="Calibri"/>
    </font>
    <font>
      <sz val="10"/>
      <color rgb="FFFFFFFF"/>
      <name val="Arial"/>
    </font>
    <font>
      <b/>
      <sz val="10"/>
      <color rgb="FFFFFFFF"/>
      <name val="Arial"/>
    </font>
    <font>
      <sz val="12"/>
      <color rgb="FF000000"/>
      <name val="Calibri"/>
    </font>
    <font>
      <sz val="10"/>
      <name val="Arial"/>
    </font>
    <font>
      <b/>
      <sz val="10"/>
      <color rgb="FF000000"/>
      <name val="Arial"/>
    </font>
    <font>
      <sz val="10"/>
      <color rgb="FF000000"/>
      <name val="Arial"/>
    </font>
    <font>
      <b/>
      <sz val="10"/>
      <color rgb="FFFFFFFF"/>
      <name val="Arial"/>
    </font>
    <font>
      <sz val="10"/>
      <color rgb="FF000000"/>
      <name val="Calibri"/>
    </font>
    <font>
      <b/>
      <sz val="10"/>
      <color rgb="FF000000"/>
      <name val="Arial"/>
    </font>
    <font>
      <sz val="10"/>
      <name val="Arial"/>
    </font>
    <font>
      <sz val="10"/>
      <color rgb="FF000000"/>
      <name val="Arial"/>
    </font>
    <font>
      <sz val="10"/>
      <name val="Arial"/>
    </font>
    <font>
      <b/>
      <sz val="14"/>
      <color rgb="FFFFFFFF"/>
      <name val="Arial"/>
    </font>
    <font>
      <b/>
      <sz val="10"/>
      <color rgb="FF000000"/>
      <name val="Arial"/>
    </font>
    <font>
      <u/>
      <sz val="10"/>
      <color rgb="FF1155CC"/>
      <name val="Arial"/>
    </font>
    <font>
      <sz val="8"/>
      <name val="Arial"/>
    </font>
    <font>
      <u/>
      <sz val="10"/>
      <color rgb="FF1155CC"/>
      <name val="Arial"/>
    </font>
    <font>
      <u/>
      <sz val="10"/>
      <color rgb="FF1155CC"/>
      <name val="Arial"/>
    </font>
    <font>
      <u/>
      <sz val="10"/>
      <color rgb="FF0000FF"/>
      <name val="Arial"/>
    </font>
    <font>
      <u/>
      <sz val="10"/>
      <color rgb="FF0000FF"/>
      <name val="Arial"/>
    </font>
    <font>
      <b/>
      <u/>
      <sz val="10"/>
      <color rgb="FF000000"/>
      <name val="Arial"/>
    </font>
    <font>
      <b/>
      <sz val="10"/>
      <name val="Arial"/>
    </font>
    <font>
      <u/>
      <sz val="10"/>
      <color rgb="FF0000FF"/>
      <name val="Arial"/>
    </font>
  </fonts>
  <fills count="14">
    <fill>
      <patternFill patternType="none"/>
    </fill>
    <fill>
      <patternFill patternType="gray125"/>
    </fill>
    <fill>
      <patternFill patternType="solid">
        <fgColor rgb="FFE2EFDA"/>
        <bgColor rgb="FFE2EFDA"/>
      </patternFill>
    </fill>
    <fill>
      <patternFill patternType="solid">
        <fgColor rgb="FF0B5394"/>
        <bgColor rgb="FF0B5394"/>
      </patternFill>
    </fill>
    <fill>
      <patternFill patternType="solid">
        <fgColor rgb="FFFFF2CC"/>
        <bgColor rgb="FFFFF2CC"/>
      </patternFill>
    </fill>
    <fill>
      <patternFill patternType="solid">
        <fgColor rgb="FFCFE2F3"/>
        <bgColor rgb="FFCFE2F3"/>
      </patternFill>
    </fill>
    <fill>
      <patternFill patternType="solid">
        <fgColor rgb="FF9FC5E8"/>
        <bgColor rgb="FF9FC5E8"/>
      </patternFill>
    </fill>
    <fill>
      <patternFill patternType="solid">
        <fgColor rgb="FFFFFFFF"/>
        <bgColor rgb="FFFFFFFF"/>
      </patternFill>
    </fill>
    <fill>
      <patternFill patternType="solid">
        <fgColor rgb="FFFCE5CD"/>
        <bgColor rgb="FFFCE5CD"/>
      </patternFill>
    </fill>
    <fill>
      <patternFill patternType="solid">
        <fgColor rgb="FF073763"/>
        <bgColor rgb="FF073763"/>
      </patternFill>
    </fill>
    <fill>
      <patternFill patternType="solid">
        <fgColor rgb="FFD9EAD3"/>
        <bgColor rgb="FFD9EAD3"/>
      </patternFill>
    </fill>
    <fill>
      <patternFill patternType="solid">
        <fgColor rgb="FFC9DAF8"/>
        <bgColor rgb="FFC9DAF8"/>
      </patternFill>
    </fill>
    <fill>
      <patternFill patternType="solid">
        <fgColor rgb="FFD9D2E9"/>
        <bgColor rgb="FFD9D2E9"/>
      </patternFill>
    </fill>
    <fill>
      <patternFill patternType="solid">
        <fgColor rgb="FFCCCCCC"/>
        <bgColor rgb="FFCCCCCC"/>
      </patternFill>
    </fill>
  </fills>
  <borders count="13">
    <border>
      <left/>
      <right/>
      <top/>
      <bottom/>
      <diagonal/>
    </border>
    <border>
      <left/>
      <right style="thin">
        <color rgb="FFA6A6A6"/>
      </right>
      <top/>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000000"/>
      </top>
      <bottom/>
      <diagonal/>
    </border>
    <border>
      <left/>
      <right style="thin">
        <color rgb="FF000000"/>
      </right>
      <top style="thin">
        <color rgb="FF000000"/>
      </top>
      <bottom/>
      <diagonal/>
    </border>
    <border>
      <left style="thin">
        <color rgb="FFA6A6A6"/>
      </left>
      <right/>
      <top style="thin">
        <color rgb="FFA6A6A6"/>
      </top>
      <bottom style="thin">
        <color rgb="FFA6A6A6"/>
      </bottom>
      <diagonal/>
    </border>
    <border>
      <left style="thin">
        <color rgb="FF000000"/>
      </left>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274">
    <xf numFmtId="0" fontId="0" fillId="0" borderId="0" xfId="0" applyFont="1" applyAlignment="1"/>
    <xf numFmtId="0" fontId="1" fillId="0" borderId="0" xfId="0" applyFont="1" applyAlignment="1">
      <alignment wrapText="1"/>
    </xf>
    <xf numFmtId="0" fontId="2" fillId="0" borderId="0" xfId="0" applyFont="1" applyAlignment="1"/>
    <xf numFmtId="0" fontId="1" fillId="0" borderId="4" xfId="0" applyFont="1" applyBorder="1" applyAlignment="1">
      <alignment wrapText="1"/>
    </xf>
    <xf numFmtId="0" fontId="3" fillId="0" borderId="0" xfId="0" applyFont="1" applyAlignment="1"/>
    <xf numFmtId="0" fontId="2" fillId="0" borderId="0" xfId="0" applyFont="1" applyAlignment="1"/>
    <xf numFmtId="0" fontId="4" fillId="3" borderId="0" xfId="0" applyFont="1" applyFill="1" applyAlignment="1"/>
    <xf numFmtId="2" fontId="3" fillId="4" borderId="5" xfId="0" applyNumberFormat="1" applyFont="1" applyFill="1" applyBorder="1" applyAlignment="1"/>
    <xf numFmtId="0" fontId="3" fillId="0" borderId="4" xfId="0" applyFont="1" applyBorder="1"/>
    <xf numFmtId="0" fontId="4" fillId="3" borderId="0" xfId="0" applyFont="1" applyFill="1"/>
    <xf numFmtId="164" fontId="3" fillId="0" borderId="4" xfId="0" applyNumberFormat="1" applyFont="1" applyBorder="1"/>
    <xf numFmtId="164" fontId="3" fillId="0" borderId="5" xfId="0" applyNumberFormat="1" applyFont="1" applyBorder="1"/>
    <xf numFmtId="0" fontId="4" fillId="3" borderId="0" xfId="0" applyFont="1" applyFill="1" applyAlignment="1">
      <alignment wrapText="1"/>
    </xf>
    <xf numFmtId="0" fontId="3" fillId="0" borderId="8" xfId="0" applyFont="1" applyBorder="1"/>
    <xf numFmtId="0" fontId="3" fillId="0" borderId="9" xfId="0" applyFont="1" applyBorder="1"/>
    <xf numFmtId="0" fontId="2" fillId="0" borderId="8" xfId="0" applyFont="1" applyBorder="1" applyAlignment="1"/>
    <xf numFmtId="3" fontId="2" fillId="0" borderId="0" xfId="0" applyNumberFormat="1" applyFont="1" applyAlignment="1"/>
    <xf numFmtId="3" fontId="2" fillId="0" borderId="9" xfId="0" applyNumberFormat="1" applyFont="1" applyBorder="1" applyAlignment="1"/>
    <xf numFmtId="164" fontId="2" fillId="0" borderId="0" xfId="0" applyNumberFormat="1" applyFont="1" applyAlignment="1"/>
    <xf numFmtId="4" fontId="2" fillId="0" borderId="9" xfId="0" applyNumberFormat="1" applyFont="1" applyBorder="1" applyAlignment="1"/>
    <xf numFmtId="164" fontId="2" fillId="0" borderId="9" xfId="0" applyNumberFormat="1" applyFont="1" applyBorder="1" applyAlignment="1"/>
    <xf numFmtId="0" fontId="2" fillId="0" borderId="10" xfId="0" applyFont="1" applyBorder="1" applyAlignment="1"/>
    <xf numFmtId="0" fontId="2" fillId="0" borderId="11" xfId="0" applyFont="1" applyBorder="1" applyAlignment="1"/>
    <xf numFmtId="0" fontId="2" fillId="0" borderId="12" xfId="0" applyFont="1" applyBorder="1" applyAlignment="1"/>
    <xf numFmtId="0" fontId="6" fillId="3" borderId="0" xfId="0" applyFont="1" applyFill="1"/>
    <xf numFmtId="0" fontId="3" fillId="3" borderId="0" xfId="0" applyFont="1" applyFill="1"/>
    <xf numFmtId="0" fontId="4" fillId="6" borderId="0" xfId="0" applyFont="1" applyFill="1" applyAlignment="1">
      <alignment wrapText="1"/>
    </xf>
    <xf numFmtId="0" fontId="4" fillId="6" borderId="0" xfId="0" applyFont="1" applyFill="1" applyAlignment="1">
      <alignment wrapText="1"/>
    </xf>
    <xf numFmtId="0" fontId="7" fillId="6" borderId="0" xfId="0" applyFont="1" applyFill="1" applyAlignment="1">
      <alignment wrapText="1"/>
    </xf>
    <xf numFmtId="0" fontId="0" fillId="0" borderId="0" xfId="0" applyFont="1" applyAlignment="1"/>
    <xf numFmtId="0" fontId="8" fillId="0" borderId="0" xfId="0" applyFont="1" applyAlignment="1"/>
    <xf numFmtId="165" fontId="0" fillId="0" borderId="0" xfId="0" applyNumberFormat="1" applyFont="1" applyAlignment="1">
      <alignment horizontal="right"/>
    </xf>
    <xf numFmtId="166" fontId="9" fillId="0" borderId="0" xfId="0" applyNumberFormat="1" applyFont="1" applyAlignment="1"/>
    <xf numFmtId="4" fontId="9" fillId="0" borderId="0" xfId="0" applyNumberFormat="1" applyFont="1" applyAlignment="1"/>
    <xf numFmtId="0" fontId="9" fillId="0" borderId="0" xfId="0" applyFont="1"/>
    <xf numFmtId="0" fontId="9" fillId="0" borderId="0" xfId="0" applyFont="1" applyAlignment="1"/>
    <xf numFmtId="165" fontId="9" fillId="0" borderId="0" xfId="0" applyNumberFormat="1" applyFont="1" applyAlignment="1"/>
    <xf numFmtId="0" fontId="3" fillId="7" borderId="0" xfId="0" applyFont="1" applyFill="1" applyAlignment="1"/>
    <xf numFmtId="0" fontId="3" fillId="0" borderId="7" xfId="0" applyFont="1" applyBorder="1" applyAlignment="1"/>
    <xf numFmtId="164" fontId="3" fillId="8" borderId="5" xfId="0" applyNumberFormat="1" applyFont="1" applyFill="1" applyBorder="1" applyAlignment="1"/>
    <xf numFmtId="0" fontId="3" fillId="7" borderId="0" xfId="0" applyFont="1" applyFill="1"/>
    <xf numFmtId="0" fontId="4" fillId="7" borderId="0" xfId="0" applyFont="1" applyFill="1" applyAlignment="1"/>
    <xf numFmtId="0" fontId="4" fillId="7" borderId="0" xfId="0" applyFont="1" applyFill="1"/>
    <xf numFmtId="164" fontId="1" fillId="0" borderId="0" xfId="0" applyNumberFormat="1" applyFont="1" applyAlignment="1">
      <alignment wrapText="1"/>
    </xf>
    <xf numFmtId="0" fontId="4" fillId="6" borderId="10" xfId="0" applyFont="1" applyFill="1" applyBorder="1" applyAlignment="1">
      <alignment wrapText="1"/>
    </xf>
    <xf numFmtId="0" fontId="4" fillId="6" borderId="11" xfId="0" applyFont="1" applyFill="1" applyBorder="1"/>
    <xf numFmtId="164" fontId="3" fillId="0" borderId="0" xfId="0" applyNumberFormat="1" applyFont="1"/>
    <xf numFmtId="0" fontId="4" fillId="6" borderId="0" xfId="0" applyFont="1" applyFill="1" applyAlignment="1"/>
    <xf numFmtId="164" fontId="1" fillId="0" borderId="0" xfId="0" applyNumberFormat="1" applyFont="1"/>
    <xf numFmtId="164" fontId="10" fillId="4" borderId="0" xfId="0" applyNumberFormat="1" applyFont="1" applyFill="1"/>
    <xf numFmtId="164" fontId="1" fillId="4" borderId="0" xfId="0" applyNumberFormat="1" applyFont="1" applyFill="1"/>
    <xf numFmtId="4" fontId="3" fillId="7" borderId="0" xfId="0" applyNumberFormat="1" applyFont="1" applyFill="1"/>
    <xf numFmtId="0" fontId="10" fillId="7" borderId="0" xfId="0" applyFont="1" applyFill="1" applyAlignment="1"/>
    <xf numFmtId="0" fontId="3" fillId="7" borderId="0" xfId="0" applyFont="1" applyFill="1" applyAlignment="1">
      <alignment wrapText="1"/>
    </xf>
    <xf numFmtId="164" fontId="11" fillId="7" borderId="0" xfId="0" applyNumberFormat="1" applyFont="1" applyFill="1"/>
    <xf numFmtId="164" fontId="3" fillId="0" borderId="0" xfId="0" applyNumberFormat="1" applyFont="1"/>
    <xf numFmtId="164" fontId="10" fillId="7" borderId="0" xfId="0" applyNumberFormat="1" applyFont="1" applyFill="1"/>
    <xf numFmtId="0" fontId="11" fillId="7" borderId="0" xfId="0" applyFont="1" applyFill="1"/>
    <xf numFmtId="0" fontId="9" fillId="0" borderId="0" xfId="0" applyFont="1" applyAlignment="1"/>
    <xf numFmtId="0" fontId="3" fillId="3" borderId="0" xfId="0" applyFont="1" applyFill="1" applyAlignment="1"/>
    <xf numFmtId="0" fontId="13" fillId="0" borderId="0" xfId="0" applyFont="1" applyAlignment="1"/>
    <xf numFmtId="0" fontId="12" fillId="6" borderId="0" xfId="0" applyFont="1" applyFill="1" applyAlignment="1">
      <alignment horizontal="left" wrapText="1"/>
    </xf>
    <xf numFmtId="0" fontId="0" fillId="0" borderId="0" xfId="0" applyFont="1" applyAlignment="1">
      <alignment horizontal="right"/>
    </xf>
    <xf numFmtId="167" fontId="3" fillId="0" borderId="0" xfId="0" applyNumberFormat="1" applyFont="1" applyAlignment="1"/>
    <xf numFmtId="167" fontId="3" fillId="0" borderId="0" xfId="0" applyNumberFormat="1" applyFont="1" applyAlignment="1"/>
    <xf numFmtId="167" fontId="3" fillId="0" borderId="0" xfId="0" applyNumberFormat="1" applyFont="1"/>
    <xf numFmtId="0" fontId="9" fillId="0" borderId="0" xfId="0" applyFont="1" applyAlignment="1"/>
    <xf numFmtId="164" fontId="3" fillId="0" borderId="0" xfId="0" applyNumberFormat="1" applyFont="1" applyAlignment="1"/>
    <xf numFmtId="164" fontId="4" fillId="3" borderId="0" xfId="0" applyNumberFormat="1" applyFont="1" applyFill="1" applyAlignment="1">
      <alignment wrapText="1"/>
    </xf>
    <xf numFmtId="167" fontId="3" fillId="0" borderId="0" xfId="0" applyNumberFormat="1" applyFont="1" applyAlignment="1">
      <alignment wrapText="1"/>
    </xf>
    <xf numFmtId="164" fontId="6" fillId="3" borderId="0" xfId="0" applyNumberFormat="1" applyFont="1" applyFill="1"/>
    <xf numFmtId="164" fontId="6" fillId="7" borderId="0" xfId="0" applyNumberFormat="1" applyFont="1" applyFill="1"/>
    <xf numFmtId="168" fontId="3" fillId="0" borderId="0" xfId="0" applyNumberFormat="1" applyFont="1"/>
    <xf numFmtId="0" fontId="0" fillId="7" borderId="0" xfId="0" applyFont="1" applyFill="1" applyAlignment="1">
      <alignment horizontal="left"/>
    </xf>
    <xf numFmtId="0" fontId="0" fillId="0" borderId="0" xfId="0" applyFont="1" applyAlignment="1"/>
    <xf numFmtId="166" fontId="0" fillId="0" borderId="0" xfId="0" applyNumberFormat="1" applyFont="1" applyAlignment="1">
      <alignment horizontal="right"/>
    </xf>
    <xf numFmtId="4" fontId="0" fillId="0" borderId="0" xfId="0" applyNumberFormat="1" applyFont="1" applyAlignment="1">
      <alignment horizontal="right"/>
    </xf>
    <xf numFmtId="165" fontId="9" fillId="0" borderId="0" xfId="0" applyNumberFormat="1" applyFont="1"/>
    <xf numFmtId="169" fontId="3" fillId="0" borderId="0" xfId="0" applyNumberFormat="1" applyFont="1"/>
    <xf numFmtId="166" fontId="9" fillId="0" borderId="0" xfId="0" applyNumberFormat="1" applyFont="1"/>
    <xf numFmtId="0" fontId="8" fillId="0" borderId="0" xfId="0" applyFont="1" applyAlignment="1">
      <alignment horizontal="right"/>
    </xf>
    <xf numFmtId="4" fontId="9" fillId="0" borderId="0" xfId="0" applyNumberFormat="1" applyFont="1"/>
    <xf numFmtId="0" fontId="9" fillId="7" borderId="0" xfId="0" applyFont="1" applyFill="1" applyAlignment="1"/>
    <xf numFmtId="0" fontId="3" fillId="6" borderId="0" xfId="0" applyFont="1" applyFill="1"/>
    <xf numFmtId="0" fontId="0" fillId="7" borderId="0" xfId="0" applyFont="1" applyFill="1" applyAlignment="1">
      <alignment wrapText="1"/>
    </xf>
    <xf numFmtId="0" fontId="4" fillId="7" borderId="0" xfId="0" applyFont="1" applyFill="1" applyAlignment="1">
      <alignment wrapText="1"/>
    </xf>
    <xf numFmtId="0" fontId="4" fillId="7" borderId="0" xfId="0" applyFont="1" applyFill="1" applyAlignment="1">
      <alignment wrapText="1"/>
    </xf>
    <xf numFmtId="4" fontId="3" fillId="0" borderId="0" xfId="0" applyNumberFormat="1" applyFont="1"/>
    <xf numFmtId="4" fontId="3" fillId="0" borderId="0" xfId="0" applyNumberFormat="1" applyFont="1" applyAlignment="1"/>
    <xf numFmtId="0" fontId="0" fillId="0" borderId="0" xfId="0" applyFont="1" applyAlignment="1"/>
    <xf numFmtId="170" fontId="3" fillId="0" borderId="0" xfId="0" applyNumberFormat="1" applyFont="1" applyAlignment="1"/>
    <xf numFmtId="0" fontId="8" fillId="0" borderId="0" xfId="0" applyFont="1" applyAlignment="1"/>
    <xf numFmtId="0" fontId="3" fillId="0" borderId="0" xfId="0" applyFont="1" applyAlignment="1"/>
    <xf numFmtId="3" fontId="3" fillId="0" borderId="0" xfId="0" applyNumberFormat="1" applyFont="1"/>
    <xf numFmtId="10" fontId="3" fillId="0" borderId="0" xfId="0" applyNumberFormat="1" applyFont="1" applyAlignment="1"/>
    <xf numFmtId="0" fontId="12" fillId="6" borderId="0" xfId="0" applyFont="1" applyFill="1" applyAlignment="1">
      <alignment horizontal="left"/>
    </xf>
    <xf numFmtId="0" fontId="12" fillId="7" borderId="0" xfId="0" applyFont="1" applyFill="1" applyAlignment="1">
      <alignment horizontal="left" wrapText="1"/>
    </xf>
    <xf numFmtId="0" fontId="14" fillId="7" borderId="0" xfId="0" applyFont="1" applyFill="1" applyAlignment="1">
      <alignment horizontal="left" wrapText="1"/>
    </xf>
    <xf numFmtId="10" fontId="3" fillId="0" borderId="0" xfId="0" applyNumberFormat="1" applyFont="1"/>
    <xf numFmtId="0" fontId="6" fillId="7" borderId="0" xfId="0" applyFont="1" applyFill="1"/>
    <xf numFmtId="0" fontId="1" fillId="0" borderId="0" xfId="0" applyFont="1" applyAlignment="1">
      <alignment wrapText="1"/>
    </xf>
    <xf numFmtId="0" fontId="4" fillId="6" borderId="0" xfId="0" applyFont="1" applyFill="1" applyAlignment="1">
      <alignment wrapText="1"/>
    </xf>
    <xf numFmtId="0" fontId="10" fillId="7" borderId="0" xfId="0" applyFont="1" applyFill="1" applyAlignment="1">
      <alignment wrapText="1"/>
    </xf>
    <xf numFmtId="0" fontId="10" fillId="7" borderId="0" xfId="0" applyFont="1" applyFill="1" applyAlignment="1">
      <alignment wrapText="1"/>
    </xf>
    <xf numFmtId="9" fontId="3" fillId="0" borderId="0" xfId="0" applyNumberFormat="1" applyFont="1" applyAlignment="1"/>
    <xf numFmtId="0" fontId="3" fillId="6" borderId="0" xfId="0" applyFont="1" applyFill="1" applyAlignment="1">
      <alignment wrapText="1"/>
    </xf>
    <xf numFmtId="171" fontId="3" fillId="0" borderId="0" xfId="0" applyNumberFormat="1" applyFont="1"/>
    <xf numFmtId="1" fontId="3" fillId="0" borderId="0" xfId="0" applyNumberFormat="1" applyFont="1"/>
    <xf numFmtId="3" fontId="3" fillId="0" borderId="0" xfId="0" applyNumberFormat="1" applyFont="1" applyAlignment="1"/>
    <xf numFmtId="0" fontId="12" fillId="9" borderId="0" xfId="0" applyFont="1" applyFill="1" applyAlignment="1"/>
    <xf numFmtId="0" fontId="15" fillId="9" borderId="0" xfId="0" applyFont="1" applyFill="1" applyAlignment="1"/>
    <xf numFmtId="0" fontId="4" fillId="3" borderId="0" xfId="0" applyFont="1" applyFill="1" applyAlignment="1">
      <alignment wrapText="1"/>
    </xf>
    <xf numFmtId="0" fontId="14" fillId="7" borderId="8" xfId="0" applyFont="1" applyFill="1" applyBorder="1" applyAlignment="1">
      <alignment wrapText="1"/>
    </xf>
    <xf numFmtId="4" fontId="14" fillId="7" borderId="0" xfId="0" applyNumberFormat="1" applyFont="1" applyFill="1" applyAlignment="1">
      <alignment horizontal="right" wrapText="1"/>
    </xf>
    <xf numFmtId="0" fontId="15" fillId="3" borderId="0" xfId="0" applyFont="1" applyFill="1" applyAlignment="1"/>
    <xf numFmtId="0" fontId="12" fillId="3" borderId="0" xfId="0" applyFont="1" applyFill="1" applyAlignment="1">
      <alignment wrapText="1"/>
    </xf>
    <xf numFmtId="0" fontId="12" fillId="3" borderId="0" xfId="0" applyFont="1" applyFill="1" applyAlignment="1">
      <alignment wrapText="1"/>
    </xf>
    <xf numFmtId="0" fontId="12" fillId="3" borderId="0" xfId="0" applyFont="1" applyFill="1" applyAlignment="1">
      <alignment horizontal="left" wrapText="1"/>
    </xf>
    <xf numFmtId="0" fontId="12" fillId="3" borderId="0" xfId="0" applyFont="1" applyFill="1" applyAlignment="1">
      <alignment horizontal="left" wrapText="1"/>
    </xf>
    <xf numFmtId="0" fontId="12" fillId="3" borderId="0" xfId="0" applyFont="1" applyFill="1" applyAlignment="1">
      <alignment wrapText="1"/>
    </xf>
    <xf numFmtId="0" fontId="12" fillId="3" borderId="0" xfId="0" applyFont="1" applyFill="1" applyAlignment="1">
      <alignment horizontal="left" wrapText="1"/>
    </xf>
    <xf numFmtId="0" fontId="4" fillId="0" borderId="0" xfId="0" applyFont="1" applyAlignment="1">
      <alignment wrapText="1"/>
    </xf>
    <xf numFmtId="0" fontId="3" fillId="0" borderId="8" xfId="0" applyFont="1" applyBorder="1" applyAlignment="1"/>
    <xf numFmtId="172" fontId="3" fillId="0" borderId="0" xfId="0" applyNumberFormat="1" applyFont="1" applyAlignment="1"/>
    <xf numFmtId="0" fontId="3" fillId="0" borderId="9" xfId="0" applyFont="1" applyBorder="1" applyAlignment="1"/>
    <xf numFmtId="0" fontId="3" fillId="0" borderId="0" xfId="0" applyFont="1" applyAlignment="1"/>
    <xf numFmtId="0" fontId="4" fillId="6" borderId="0" xfId="0" applyFont="1" applyFill="1"/>
    <xf numFmtId="0" fontId="16" fillId="7" borderId="0" xfId="0" applyFont="1" applyFill="1" applyAlignment="1">
      <alignment horizontal="left"/>
    </xf>
    <xf numFmtId="0" fontId="17" fillId="0" borderId="0" xfId="0" applyFont="1" applyAlignment="1"/>
    <xf numFmtId="0" fontId="17" fillId="0" borderId="0" xfId="0" applyFont="1"/>
    <xf numFmtId="165" fontId="9" fillId="7" borderId="0" xfId="0" applyNumberFormat="1" applyFont="1" applyFill="1" applyAlignment="1"/>
    <xf numFmtId="0" fontId="3" fillId="0" borderId="0" xfId="0" applyFont="1" applyAlignment="1"/>
    <xf numFmtId="0" fontId="12" fillId="7" borderId="0" xfId="0" applyFont="1" applyFill="1" applyAlignment="1">
      <alignment horizontal="left"/>
    </xf>
    <xf numFmtId="173" fontId="0" fillId="0" borderId="0" xfId="0" applyNumberFormat="1" applyFont="1" applyAlignment="1">
      <alignment horizontal="right"/>
    </xf>
    <xf numFmtId="173" fontId="0" fillId="0" borderId="0" xfId="0" applyNumberFormat="1" applyFont="1" applyAlignment="1"/>
    <xf numFmtId="173" fontId="9" fillId="0" borderId="0" xfId="0" applyNumberFormat="1" applyFont="1"/>
    <xf numFmtId="173" fontId="0" fillId="0" borderId="0" xfId="0" applyNumberFormat="1" applyFont="1" applyAlignment="1"/>
    <xf numFmtId="10" fontId="4" fillId="3" borderId="0" xfId="0" applyNumberFormat="1" applyFont="1" applyFill="1" applyAlignment="1">
      <alignment wrapText="1"/>
    </xf>
    <xf numFmtId="0" fontId="4" fillId="6" borderId="8" xfId="0" applyFont="1" applyFill="1" applyBorder="1" applyAlignment="1">
      <alignment wrapText="1"/>
    </xf>
    <xf numFmtId="173" fontId="3" fillId="0" borderId="0" xfId="0" applyNumberFormat="1" applyFont="1"/>
    <xf numFmtId="2" fontId="3" fillId="0" borderId="0" xfId="0" applyNumberFormat="1" applyFont="1"/>
    <xf numFmtId="10" fontId="3" fillId="0" borderId="8" xfId="0" applyNumberFormat="1" applyFont="1" applyBorder="1"/>
    <xf numFmtId="2" fontId="3" fillId="0" borderId="0" xfId="0" applyNumberFormat="1" applyFont="1" applyAlignment="1"/>
    <xf numFmtId="10" fontId="3" fillId="0" borderId="8" xfId="0" applyNumberFormat="1" applyFont="1" applyBorder="1" applyAlignment="1"/>
    <xf numFmtId="10" fontId="16" fillId="7" borderId="0" xfId="0" applyNumberFormat="1" applyFont="1" applyFill="1" applyAlignment="1">
      <alignment horizontal="right"/>
    </xf>
    <xf numFmtId="0" fontId="3" fillId="0" borderId="10" xfId="0" applyFont="1" applyBorder="1" applyAlignment="1"/>
    <xf numFmtId="4" fontId="3" fillId="0" borderId="11" xfId="0" applyNumberFormat="1" applyFont="1" applyBorder="1"/>
    <xf numFmtId="0" fontId="3" fillId="0" borderId="11" xfId="0" applyFont="1" applyBorder="1"/>
    <xf numFmtId="171" fontId="3" fillId="0" borderId="11" xfId="0" applyNumberFormat="1" applyFont="1" applyBorder="1"/>
    <xf numFmtId="0" fontId="0" fillId="7" borderId="12" xfId="0" applyFont="1" applyFill="1" applyBorder="1" applyAlignment="1">
      <alignment horizontal="left"/>
    </xf>
    <xf numFmtId="10" fontId="4" fillId="3" borderId="8" xfId="0" applyNumberFormat="1" applyFont="1" applyFill="1" applyBorder="1" applyAlignment="1">
      <alignment wrapText="1"/>
    </xf>
    <xf numFmtId="0" fontId="4" fillId="3" borderId="8" xfId="0" applyFont="1" applyFill="1" applyBorder="1" applyAlignment="1">
      <alignment wrapText="1"/>
    </xf>
    <xf numFmtId="1" fontId="3" fillId="0" borderId="0" xfId="0" applyNumberFormat="1" applyFont="1" applyAlignment="1"/>
    <xf numFmtId="174" fontId="3" fillId="0" borderId="0" xfId="0" applyNumberFormat="1" applyFont="1" applyAlignment="1"/>
    <xf numFmtId="174" fontId="18" fillId="6" borderId="0" xfId="0" applyNumberFormat="1" applyFont="1" applyFill="1" applyAlignment="1"/>
    <xf numFmtId="174" fontId="18" fillId="7" borderId="0" xfId="0" applyNumberFormat="1" applyFont="1" applyFill="1"/>
    <xf numFmtId="174" fontId="4" fillId="3" borderId="0" xfId="0" applyNumberFormat="1" applyFont="1" applyFill="1" applyAlignment="1"/>
    <xf numFmtId="174" fontId="4" fillId="3" borderId="0" xfId="0" applyNumberFormat="1" applyFont="1" applyFill="1"/>
    <xf numFmtId="174" fontId="4" fillId="7" borderId="0" xfId="0" applyNumberFormat="1" applyFont="1" applyFill="1"/>
    <xf numFmtId="174" fontId="1" fillId="0" borderId="0" xfId="0" applyNumberFormat="1" applyFont="1" applyAlignment="1"/>
    <xf numFmtId="174" fontId="3" fillId="7" borderId="0" xfId="0" applyNumberFormat="1" applyFont="1" applyFill="1"/>
    <xf numFmtId="0" fontId="1" fillId="0" borderId="0" xfId="0" applyFont="1" applyAlignment="1"/>
    <xf numFmtId="174" fontId="3" fillId="0" borderId="0" xfId="0" applyNumberFormat="1" applyFont="1"/>
    <xf numFmtId="0" fontId="19" fillId="7" borderId="0" xfId="0" applyFont="1" applyFill="1" applyAlignment="1">
      <alignment horizontal="left"/>
    </xf>
    <xf numFmtId="164" fontId="3" fillId="0" borderId="0" xfId="0" applyNumberFormat="1" applyFont="1" applyAlignment="1"/>
    <xf numFmtId="174" fontId="14" fillId="7" borderId="0" xfId="0" applyNumberFormat="1" applyFont="1" applyFill="1" applyAlignment="1">
      <alignment horizontal="left"/>
    </xf>
    <xf numFmtId="175" fontId="3" fillId="0" borderId="0" xfId="0" applyNumberFormat="1" applyFont="1" applyAlignment="1"/>
    <xf numFmtId="164" fontId="3" fillId="7" borderId="0" xfId="0" applyNumberFormat="1" applyFont="1" applyFill="1"/>
    <xf numFmtId="174" fontId="1" fillId="0" borderId="0" xfId="0" applyNumberFormat="1" applyFont="1"/>
    <xf numFmtId="174" fontId="18" fillId="0" borderId="0" xfId="0" applyNumberFormat="1" applyFont="1" applyAlignment="1"/>
    <xf numFmtId="164" fontId="3" fillId="4" borderId="0" xfId="0" applyNumberFormat="1" applyFont="1" applyFill="1"/>
    <xf numFmtId="176" fontId="3" fillId="0" borderId="0" xfId="0" applyNumberFormat="1" applyFont="1"/>
    <xf numFmtId="165" fontId="3" fillId="0" borderId="0" xfId="0" applyNumberFormat="1" applyFont="1"/>
    <xf numFmtId="165" fontId="3" fillId="0" borderId="8" xfId="0" applyNumberFormat="1" applyFont="1" applyBorder="1"/>
    <xf numFmtId="165" fontId="3" fillId="0" borderId="0" xfId="0" applyNumberFormat="1" applyFont="1" applyAlignment="1"/>
    <xf numFmtId="177" fontId="3" fillId="0" borderId="0" xfId="0" applyNumberFormat="1" applyFont="1" applyAlignment="1"/>
    <xf numFmtId="178" fontId="3" fillId="0" borderId="0" xfId="0" applyNumberFormat="1" applyFont="1" applyAlignment="1"/>
    <xf numFmtId="174" fontId="1" fillId="7" borderId="0" xfId="0" applyNumberFormat="1" applyFont="1" applyFill="1"/>
    <xf numFmtId="179" fontId="3" fillId="0" borderId="0" xfId="0" applyNumberFormat="1" applyFont="1" applyAlignment="1"/>
    <xf numFmtId="174" fontId="1" fillId="4" borderId="0" xfId="0" applyNumberFormat="1" applyFont="1" applyFill="1" applyAlignment="1"/>
    <xf numFmtId="174" fontId="1" fillId="4" borderId="0" xfId="0" applyNumberFormat="1" applyFont="1" applyFill="1"/>
    <xf numFmtId="165" fontId="3" fillId="0" borderId="8" xfId="0" applyNumberFormat="1" applyFont="1" applyBorder="1" applyAlignment="1"/>
    <xf numFmtId="165" fontId="16" fillId="7" borderId="0" xfId="0" applyNumberFormat="1" applyFont="1" applyFill="1" applyAlignment="1">
      <alignment horizontal="right"/>
    </xf>
    <xf numFmtId="168" fontId="3" fillId="0" borderId="0" xfId="0" applyNumberFormat="1" applyFont="1" applyAlignment="1"/>
    <xf numFmtId="4" fontId="4" fillId="3" borderId="0" xfId="0" applyNumberFormat="1" applyFont="1" applyFill="1" applyAlignment="1">
      <alignment wrapText="1"/>
    </xf>
    <xf numFmtId="0" fontId="3" fillId="0" borderId="0" xfId="0" applyFont="1" applyAlignment="1">
      <alignment wrapText="1"/>
    </xf>
    <xf numFmtId="180" fontId="3" fillId="0" borderId="0" xfId="0" applyNumberFormat="1" applyFont="1"/>
    <xf numFmtId="172" fontId="3" fillId="0" borderId="0" xfId="0" applyNumberFormat="1" applyFont="1"/>
    <xf numFmtId="0" fontId="11" fillId="7" borderId="0" xfId="0" applyFont="1" applyFill="1" applyAlignment="1">
      <alignment wrapText="1"/>
    </xf>
    <xf numFmtId="4" fontId="11" fillId="7" borderId="0" xfId="0" applyNumberFormat="1" applyFont="1" applyFill="1" applyAlignment="1"/>
    <xf numFmtId="0" fontId="11" fillId="7" borderId="0" xfId="0" applyFont="1" applyFill="1" applyAlignment="1"/>
    <xf numFmtId="4" fontId="3" fillId="7" borderId="0" xfId="0" applyNumberFormat="1" applyFont="1" applyFill="1"/>
    <xf numFmtId="0" fontId="3" fillId="7" borderId="0" xfId="0" applyFont="1" applyFill="1"/>
    <xf numFmtId="169" fontId="3" fillId="0" borderId="8" xfId="0" applyNumberFormat="1" applyFont="1" applyBorder="1"/>
    <xf numFmtId="169" fontId="3" fillId="0" borderId="0" xfId="0" applyNumberFormat="1" applyFont="1" applyAlignment="1"/>
    <xf numFmtId="181" fontId="9" fillId="0" borderId="0" xfId="0" applyNumberFormat="1" applyFont="1" applyAlignment="1"/>
    <xf numFmtId="181" fontId="3" fillId="0" borderId="0" xfId="0" applyNumberFormat="1" applyFont="1"/>
    <xf numFmtId="182" fontId="3" fillId="0" borderId="0" xfId="0" applyNumberFormat="1" applyFont="1" applyAlignment="1"/>
    <xf numFmtId="183" fontId="3" fillId="0" borderId="0" xfId="0" applyNumberFormat="1" applyFont="1" applyAlignment="1"/>
    <xf numFmtId="184" fontId="3" fillId="0" borderId="0" xfId="0" applyNumberFormat="1" applyFont="1" applyAlignment="1"/>
    <xf numFmtId="0" fontId="3" fillId="0" borderId="0" xfId="0" applyFont="1" applyAlignment="1">
      <alignment wrapText="1"/>
    </xf>
    <xf numFmtId="0" fontId="1" fillId="10" borderId="0" xfId="0" applyFont="1" applyFill="1" applyAlignment="1">
      <alignment wrapText="1"/>
    </xf>
    <xf numFmtId="169" fontId="16" fillId="7" borderId="0" xfId="0" applyNumberFormat="1" applyFont="1" applyFill="1" applyAlignment="1">
      <alignment horizontal="right"/>
    </xf>
    <xf numFmtId="169" fontId="3" fillId="0" borderId="8" xfId="0" applyNumberFormat="1" applyFont="1" applyBorder="1" applyAlignment="1"/>
    <xf numFmtId="0" fontId="1" fillId="11" borderId="0" xfId="0" applyFont="1" applyFill="1" applyAlignment="1">
      <alignment wrapText="1"/>
    </xf>
    <xf numFmtId="0" fontId="1" fillId="12" borderId="0" xfId="0" applyFont="1" applyFill="1" applyAlignment="1">
      <alignment wrapText="1"/>
    </xf>
    <xf numFmtId="0" fontId="1" fillId="4" borderId="0" xfId="0" applyFont="1" applyFill="1" applyAlignment="1">
      <alignment wrapText="1"/>
    </xf>
    <xf numFmtId="0" fontId="15" fillId="0" borderId="0" xfId="0" applyFont="1" applyAlignment="1">
      <alignment horizontal="right"/>
    </xf>
    <xf numFmtId="0" fontId="20" fillId="7" borderId="0" xfId="0" applyFont="1" applyFill="1" applyAlignment="1">
      <alignment horizontal="left" wrapText="1"/>
    </xf>
    <xf numFmtId="0" fontId="15" fillId="0" borderId="0" xfId="0" applyFont="1" applyAlignment="1">
      <alignment horizontal="right"/>
    </xf>
    <xf numFmtId="167" fontId="15" fillId="0" borderId="0" xfId="0" applyNumberFormat="1" applyFont="1" applyAlignment="1">
      <alignment horizontal="right"/>
    </xf>
    <xf numFmtId="10" fontId="15" fillId="0" borderId="0" xfId="0" applyNumberFormat="1" applyFont="1" applyAlignment="1">
      <alignment horizontal="right"/>
    </xf>
    <xf numFmtId="167" fontId="15" fillId="0" borderId="0" xfId="0" applyNumberFormat="1" applyFont="1" applyAlignment="1">
      <alignment horizontal="right"/>
    </xf>
    <xf numFmtId="0" fontId="21" fillId="10" borderId="0" xfId="0" applyFont="1" applyFill="1" applyAlignment="1">
      <alignment wrapText="1"/>
    </xf>
    <xf numFmtId="10" fontId="3" fillId="10" borderId="0" xfId="0" applyNumberFormat="1" applyFont="1" applyFill="1" applyAlignment="1"/>
    <xf numFmtId="0" fontId="3" fillId="11" borderId="0" xfId="0" applyFont="1" applyFill="1" applyAlignment="1">
      <alignment wrapText="1"/>
    </xf>
    <xf numFmtId="10" fontId="3" fillId="11" borderId="0" xfId="0" applyNumberFormat="1" applyFont="1" applyFill="1" applyAlignment="1"/>
    <xf numFmtId="0" fontId="3" fillId="12" borderId="0" xfId="0" applyFont="1" applyFill="1" applyAlignment="1">
      <alignment wrapText="1"/>
    </xf>
    <xf numFmtId="10" fontId="3" fillId="12" borderId="0" xfId="0" applyNumberFormat="1" applyFont="1" applyFill="1" applyAlignment="1"/>
    <xf numFmtId="10" fontId="3" fillId="4" borderId="0" xfId="0" applyNumberFormat="1" applyFont="1" applyFill="1"/>
    <xf numFmtId="10" fontId="3" fillId="4" borderId="0" xfId="0" applyNumberFormat="1" applyFont="1" applyFill="1" applyAlignment="1"/>
    <xf numFmtId="0" fontId="22" fillId="0" borderId="0" xfId="0" applyFont="1" applyAlignment="1"/>
    <xf numFmtId="9" fontId="15" fillId="0" borderId="0" xfId="0" applyNumberFormat="1" applyFont="1" applyAlignment="1">
      <alignment horizontal="right"/>
    </xf>
    <xf numFmtId="0" fontId="3" fillId="10" borderId="0" xfId="0" applyFont="1" applyFill="1" applyAlignment="1">
      <alignment wrapText="1"/>
    </xf>
    <xf numFmtId="9" fontId="3" fillId="10" borderId="0" xfId="0" applyNumberFormat="1" applyFont="1" applyFill="1" applyAlignment="1"/>
    <xf numFmtId="9" fontId="3" fillId="11" borderId="0" xfId="0" applyNumberFormat="1" applyFont="1" applyFill="1" applyAlignment="1"/>
    <xf numFmtId="0" fontId="3" fillId="12" borderId="0" xfId="0" applyFont="1" applyFill="1" applyAlignment="1">
      <alignment horizontal="right" wrapText="1"/>
    </xf>
    <xf numFmtId="10" fontId="3" fillId="13" borderId="0" xfId="0" applyNumberFormat="1" applyFont="1" applyFill="1" applyAlignment="1"/>
    <xf numFmtId="10" fontId="3" fillId="13" borderId="0" xfId="0" applyNumberFormat="1" applyFont="1" applyFill="1"/>
    <xf numFmtId="0" fontId="15" fillId="0" borderId="0" xfId="0" applyFont="1" applyAlignment="1"/>
    <xf numFmtId="0" fontId="23" fillId="0" borderId="0" xfId="0" applyFont="1" applyAlignment="1"/>
    <xf numFmtId="0" fontId="24" fillId="10" borderId="0" xfId="0" applyFont="1" applyFill="1" applyAlignment="1">
      <alignment wrapText="1"/>
    </xf>
    <xf numFmtId="0" fontId="25" fillId="11" borderId="0" xfId="0" applyFont="1" applyFill="1" applyAlignment="1">
      <alignment wrapText="1"/>
    </xf>
    <xf numFmtId="0" fontId="3" fillId="12" borderId="0" xfId="0" applyFont="1" applyFill="1" applyAlignment="1">
      <alignment wrapText="1"/>
    </xf>
    <xf numFmtId="167" fontId="3" fillId="12" borderId="0" xfId="0" applyNumberFormat="1" applyFont="1" applyFill="1" applyAlignment="1"/>
    <xf numFmtId="0" fontId="3" fillId="3" borderId="0" xfId="0" applyFont="1" applyFill="1" applyAlignment="1">
      <alignment wrapText="1"/>
    </xf>
    <xf numFmtId="0" fontId="3" fillId="3" borderId="0" xfId="0" applyFont="1" applyFill="1" applyAlignment="1">
      <alignment wrapText="1"/>
    </xf>
    <xf numFmtId="0" fontId="3" fillId="0" borderId="0" xfId="0" applyFont="1" applyAlignment="1">
      <alignment vertical="center"/>
    </xf>
    <xf numFmtId="9" fontId="3" fillId="12" borderId="0" xfId="0" applyNumberFormat="1" applyFont="1" applyFill="1" applyAlignment="1"/>
    <xf numFmtId="0" fontId="1" fillId="0" borderId="0" xfId="0" applyFont="1"/>
    <xf numFmtId="0" fontId="26" fillId="0" borderId="0" xfId="0" applyFont="1" applyAlignment="1"/>
    <xf numFmtId="167" fontId="27" fillId="0" borderId="0" xfId="0" applyNumberFormat="1" applyFont="1" applyAlignment="1">
      <alignment horizontal="right"/>
    </xf>
    <xf numFmtId="0" fontId="28" fillId="0" borderId="0" xfId="0" applyFont="1" applyAlignment="1">
      <alignment vertical="center"/>
    </xf>
    <xf numFmtId="10" fontId="1" fillId="0" borderId="0" xfId="0" applyNumberFormat="1" applyFont="1"/>
    <xf numFmtId="10" fontId="1" fillId="4" borderId="0" xfId="0" applyNumberFormat="1" applyFont="1" applyFill="1"/>
    <xf numFmtId="0" fontId="14" fillId="0" borderId="0" xfId="0" applyFont="1" applyAlignment="1"/>
    <xf numFmtId="10" fontId="27" fillId="0" borderId="0" xfId="0" applyNumberFormat="1" applyFont="1" applyAlignment="1">
      <alignment horizontal="right"/>
    </xf>
    <xf numFmtId="0" fontId="16" fillId="7" borderId="0" xfId="0" applyFont="1" applyFill="1" applyAlignment="1">
      <alignment horizontal="left" wrapText="1"/>
    </xf>
    <xf numFmtId="0" fontId="3" fillId="0" borderId="0" xfId="0" applyFont="1" applyAlignment="1">
      <alignment vertical="center" wrapText="1"/>
    </xf>
    <xf numFmtId="0" fontId="14" fillId="7" borderId="7" xfId="0" applyFont="1" applyFill="1" applyBorder="1" applyAlignment="1">
      <alignment horizontal="left"/>
    </xf>
    <xf numFmtId="0" fontId="3" fillId="0" borderId="5" xfId="0" applyFont="1" applyBorder="1"/>
    <xf numFmtId="0" fontId="3" fillId="0" borderId="0" xfId="0" applyFont="1" applyAlignment="1">
      <alignment horizontal="right"/>
    </xf>
    <xf numFmtId="0" fontId="3" fillId="0" borderId="9" xfId="0" applyFont="1" applyBorder="1" applyAlignment="1">
      <alignment horizontal="right"/>
    </xf>
    <xf numFmtId="3" fontId="3" fillId="0" borderId="0" xfId="0" applyNumberFormat="1" applyFont="1" applyAlignment="1"/>
    <xf numFmtId="0" fontId="3" fillId="0" borderId="11" xfId="0" applyFont="1" applyBorder="1" applyAlignment="1"/>
    <xf numFmtId="0" fontId="3" fillId="0" borderId="12" xfId="0" applyFont="1" applyBorder="1"/>
    <xf numFmtId="0" fontId="15" fillId="0" borderId="0" xfId="0" applyFont="1" applyAlignment="1"/>
    <xf numFmtId="165" fontId="17" fillId="0" borderId="8" xfId="0" applyNumberFormat="1" applyFont="1" applyBorder="1" applyAlignment="1"/>
    <xf numFmtId="165" fontId="17" fillId="0" borderId="0" xfId="0" applyNumberFormat="1" applyFont="1" applyAlignment="1"/>
    <xf numFmtId="0" fontId="2" fillId="2" borderId="6" xfId="0" applyFont="1" applyFill="1" applyBorder="1" applyAlignment="1"/>
    <xf numFmtId="0" fontId="3" fillId="0" borderId="3" xfId="0" applyFont="1" applyBorder="1"/>
    <xf numFmtId="0" fontId="2" fillId="0" borderId="0" xfId="0" applyFont="1" applyAlignment="1"/>
    <xf numFmtId="0" fontId="0" fillId="0" borderId="0" xfId="0" applyFont="1" applyAlignment="1"/>
    <xf numFmtId="0" fontId="2" fillId="2" borderId="2" xfId="0" applyFont="1" applyFill="1" applyBorder="1" applyAlignment="1"/>
    <xf numFmtId="0" fontId="3" fillId="0" borderId="1" xfId="0" applyFont="1" applyBorder="1"/>
    <xf numFmtId="0" fontId="5" fillId="5" borderId="4" xfId="0" applyFont="1" applyFill="1" applyBorder="1" applyAlignment="1">
      <alignment horizontal="right" wrapText="1"/>
    </xf>
    <xf numFmtId="0" fontId="5" fillId="5" borderId="5" xfId="0" applyFont="1" applyFill="1" applyBorder="1" applyAlignment="1">
      <alignment horizontal="right" wrapText="1"/>
    </xf>
    <xf numFmtId="0" fontId="3" fillId="0" borderId="9" xfId="0" applyFont="1" applyBorder="1"/>
    <xf numFmtId="0" fontId="5" fillId="5" borderId="7" xfId="0" applyFont="1" applyFill="1" applyBorder="1" applyAlignment="1">
      <alignment wrapText="1"/>
    </xf>
    <xf numFmtId="0" fontId="3" fillId="0" borderId="4" xfId="0" applyFont="1" applyBorder="1"/>
    <xf numFmtId="0" fontId="3" fillId="0" borderId="8" xfId="0" applyFont="1" applyBorder="1"/>
    <xf numFmtId="0" fontId="2" fillId="2" borderId="2" xfId="0" applyFont="1" applyFill="1" applyBorder="1" applyAlignment="1">
      <alignment wrapText="1"/>
    </xf>
    <xf numFmtId="0" fontId="12" fillId="3" borderId="0" xfId="0" applyFont="1" applyFill="1" applyAlignment="1">
      <alignment horizontal="left"/>
    </xf>
    <xf numFmtId="0" fontId="4" fillId="3" borderId="0" xfId="0" applyFont="1" applyFill="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123825</xdr:colOff>
      <xdr:row>47</xdr:row>
      <xdr:rowOff>123825</xdr:rowOff>
    </xdr:to>
    <xdr:sp macro="" textlink="">
      <xdr:nvSpPr>
        <xdr:cNvPr id="1027"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752475</xdr:colOff>
      <xdr:row>49</xdr:row>
      <xdr:rowOff>152400</xdr:rowOff>
    </xdr:to>
    <xdr:sp macro="" textlink="">
      <xdr:nvSpPr>
        <xdr:cNvPr id="3113" name="Rectangle 41"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704850</xdr:colOff>
      <xdr:row>37</xdr:row>
      <xdr:rowOff>133350</xdr:rowOff>
    </xdr:to>
    <xdr:sp macro="" textlink="">
      <xdr:nvSpPr>
        <xdr:cNvPr id="9269" name="Rectangle 5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866775</xdr:colOff>
      <xdr:row>48</xdr:row>
      <xdr:rowOff>0</xdr:rowOff>
    </xdr:to>
    <xdr:sp macro="" textlink="">
      <xdr:nvSpPr>
        <xdr:cNvPr id="2052"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866775</xdr:colOff>
      <xdr:row>45</xdr:row>
      <xdr:rowOff>47625</xdr:rowOff>
    </xdr:to>
    <xdr:sp macro="" textlink="">
      <xdr:nvSpPr>
        <xdr:cNvPr id="6161" name="Rectangle 17"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3028950</xdr:colOff>
      <xdr:row>51</xdr:row>
      <xdr:rowOff>95250</xdr:rowOff>
    </xdr:to>
    <xdr:sp macro="" textlink="">
      <xdr:nvSpPr>
        <xdr:cNvPr id="4115" name="Rectangle 19"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609600</xdr:colOff>
      <xdr:row>47</xdr:row>
      <xdr:rowOff>85725</xdr:rowOff>
    </xdr:to>
    <xdr:sp macro="" textlink="">
      <xdr:nvSpPr>
        <xdr:cNvPr id="5125"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47625</xdr:colOff>
      <xdr:row>51</xdr:row>
      <xdr:rowOff>47625</xdr:rowOff>
    </xdr:to>
    <xdr:sp macro="" textlink="">
      <xdr:nvSpPr>
        <xdr:cNvPr id="7186" name="Rectangle 18"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6810375</xdr:colOff>
      <xdr:row>27</xdr:row>
      <xdr:rowOff>76200</xdr:rowOff>
    </xdr:to>
    <xdr:sp macro="" textlink="">
      <xdr:nvSpPr>
        <xdr:cNvPr id="8198" name="Rectangle 6"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12"/>
  <sheetViews>
    <sheetView tabSelected="1" workbookViewId="0"/>
  </sheetViews>
  <sheetFormatPr defaultColWidth="14.42578125" defaultRowHeight="15.75" customHeight="1" x14ac:dyDescent="0.2"/>
  <cols>
    <col min="1" max="1" width="13.28515625" customWidth="1"/>
    <col min="3" max="3" width="16.5703125" customWidth="1"/>
    <col min="5" max="5" width="15.5703125" customWidth="1"/>
    <col min="6" max="6" width="7.5703125" customWidth="1"/>
    <col min="8" max="8" width="15.85546875" customWidth="1"/>
  </cols>
  <sheetData>
    <row r="2" spans="2:14" x14ac:dyDescent="0.25">
      <c r="B2" s="261" t="s">
        <v>0</v>
      </c>
      <c r="C2" s="264"/>
      <c r="D2" s="263" t="s">
        <v>3</v>
      </c>
      <c r="E2" s="260"/>
      <c r="F2" s="5"/>
      <c r="G2" s="261"/>
      <c r="H2" s="262"/>
      <c r="I2" s="262"/>
      <c r="J2" s="262"/>
      <c r="K2" s="262"/>
      <c r="L2" s="5"/>
      <c r="M2" s="5"/>
      <c r="N2" s="5"/>
    </row>
    <row r="3" spans="2:14" x14ac:dyDescent="0.25">
      <c r="B3" s="261" t="s">
        <v>5</v>
      </c>
      <c r="C3" s="264"/>
      <c r="D3" s="271" t="s">
        <v>6</v>
      </c>
      <c r="E3" s="260"/>
      <c r="F3" s="5"/>
      <c r="G3" s="261" t="s">
        <v>7</v>
      </c>
      <c r="H3" s="262"/>
      <c r="I3" s="262"/>
      <c r="J3" s="262"/>
      <c r="K3" s="262"/>
      <c r="L3" s="262"/>
      <c r="M3" s="262"/>
      <c r="N3" s="262"/>
    </row>
    <row r="4" spans="2:14" x14ac:dyDescent="0.25">
      <c r="B4" s="261" t="s">
        <v>8</v>
      </c>
      <c r="C4" s="264"/>
      <c r="D4" s="263" t="s">
        <v>9</v>
      </c>
      <c r="E4" s="260"/>
      <c r="F4" s="5"/>
      <c r="G4" s="261" t="s">
        <v>10</v>
      </c>
      <c r="H4" s="262"/>
      <c r="I4" s="262"/>
      <c r="J4" s="262"/>
      <c r="K4" s="262"/>
      <c r="L4" s="262"/>
      <c r="M4" s="262"/>
      <c r="N4" s="262"/>
    </row>
    <row r="5" spans="2:14" x14ac:dyDescent="0.25">
      <c r="B5" s="261" t="s">
        <v>11</v>
      </c>
      <c r="C5" s="262"/>
      <c r="D5" s="259" t="s">
        <v>12</v>
      </c>
      <c r="E5" s="260"/>
      <c r="F5" s="5"/>
      <c r="G5" s="261" t="s">
        <v>14</v>
      </c>
      <c r="H5" s="262"/>
      <c r="I5" s="262"/>
      <c r="J5" s="262"/>
      <c r="K5" s="262"/>
      <c r="L5" s="262"/>
      <c r="M5" s="262"/>
      <c r="N5" s="262"/>
    </row>
    <row r="6" spans="2:14" x14ac:dyDescent="0.25">
      <c r="B6" s="5"/>
      <c r="C6" s="5"/>
      <c r="D6" s="5"/>
      <c r="E6" s="5"/>
      <c r="L6" s="5"/>
      <c r="M6" s="5"/>
      <c r="N6" s="5"/>
    </row>
    <row r="7" spans="2:14" x14ac:dyDescent="0.25">
      <c r="B7" s="268" t="s">
        <v>15</v>
      </c>
      <c r="C7" s="269"/>
      <c r="D7" s="265" t="s">
        <v>17</v>
      </c>
      <c r="E7" s="266"/>
      <c r="G7" s="268" t="s">
        <v>25</v>
      </c>
      <c r="H7" s="269"/>
      <c r="I7" s="265" t="s">
        <v>17</v>
      </c>
      <c r="J7" s="266"/>
      <c r="L7" s="5"/>
      <c r="M7" s="5"/>
      <c r="N7" s="5"/>
    </row>
    <row r="8" spans="2:14" x14ac:dyDescent="0.25">
      <c r="B8" s="270"/>
      <c r="C8" s="262"/>
      <c r="D8" s="262"/>
      <c r="E8" s="267"/>
      <c r="G8" s="270"/>
      <c r="H8" s="262"/>
      <c r="I8" s="262"/>
      <c r="J8" s="267"/>
      <c r="L8" s="5"/>
      <c r="M8" s="5"/>
      <c r="N8" s="5"/>
    </row>
    <row r="9" spans="2:14" x14ac:dyDescent="0.25">
      <c r="B9" s="15" t="s">
        <v>26</v>
      </c>
      <c r="C9" s="2"/>
      <c r="D9" s="16">
        <f>'Specific Location Estimates'!G28*5</f>
        <v>252.45556818529056</v>
      </c>
      <c r="E9" s="17"/>
      <c r="G9" s="15" t="s">
        <v>26</v>
      </c>
      <c r="H9" s="2"/>
      <c r="I9" s="16">
        <f>'National CEA estimate'!D121*5</f>
        <v>199.79257589453394</v>
      </c>
      <c r="J9" s="17"/>
      <c r="L9" s="5"/>
      <c r="M9" s="5"/>
      <c r="N9" s="5"/>
    </row>
    <row r="10" spans="2:14" x14ac:dyDescent="0.25">
      <c r="B10" s="15" t="s">
        <v>27</v>
      </c>
      <c r="C10" s="2"/>
      <c r="D10" s="16">
        <f>'Specific Location Estimates'!G34*5</f>
        <v>21822.288438380638</v>
      </c>
      <c r="E10" s="17"/>
      <c r="G10" s="15" t="s">
        <v>27</v>
      </c>
      <c r="H10" s="2"/>
      <c r="I10" s="16">
        <f>'National CEA estimate'!P121*5</f>
        <v>17116.400241467971</v>
      </c>
      <c r="J10" s="17"/>
      <c r="L10" s="5"/>
      <c r="M10" s="5"/>
      <c r="N10" s="5"/>
    </row>
    <row r="11" spans="2:14" x14ac:dyDescent="0.25">
      <c r="B11" s="15" t="s">
        <v>28</v>
      </c>
      <c r="C11" s="2"/>
      <c r="D11" s="18">
        <f>'Specific Location Estimates'!N4</f>
        <v>4543.0941568582921</v>
      </c>
      <c r="E11" s="19"/>
      <c r="G11" s="15" t="s">
        <v>28</v>
      </c>
      <c r="H11" s="2"/>
      <c r="I11" s="18">
        <f>'National CEA estimate'!D8</f>
        <v>5821.4907125176151</v>
      </c>
      <c r="J11" s="20"/>
      <c r="L11" s="5"/>
      <c r="M11" s="5"/>
      <c r="N11" s="5"/>
    </row>
    <row r="12" spans="2:14" x14ac:dyDescent="0.25">
      <c r="B12" s="21"/>
      <c r="C12" s="22"/>
      <c r="D12" s="22"/>
      <c r="E12" s="23"/>
      <c r="G12" s="21"/>
      <c r="H12" s="22"/>
      <c r="I12" s="22"/>
      <c r="J12" s="23"/>
      <c r="L12" s="5"/>
      <c r="M12" s="5"/>
      <c r="N12" s="5"/>
    </row>
  </sheetData>
  <mergeCells count="18">
    <mergeCell ref="B2:C2"/>
    <mergeCell ref="D2:E2"/>
    <mergeCell ref="G2:K2"/>
    <mergeCell ref="D7:D8"/>
    <mergeCell ref="E7:E8"/>
    <mergeCell ref="G7:H8"/>
    <mergeCell ref="I7:I8"/>
    <mergeCell ref="B3:C3"/>
    <mergeCell ref="D3:E3"/>
    <mergeCell ref="B7:C8"/>
    <mergeCell ref="B5:C5"/>
    <mergeCell ref="B4:C4"/>
    <mergeCell ref="J7:J8"/>
    <mergeCell ref="D5:E5"/>
    <mergeCell ref="G4:N4"/>
    <mergeCell ref="G3:N3"/>
    <mergeCell ref="G5:N5"/>
    <mergeCell ref="D4:E4"/>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34"/>
  <sheetViews>
    <sheetView workbookViewId="0">
      <pane xSplit="1" topLeftCell="B1" activePane="topRight" state="frozen"/>
      <selection pane="topRight" activeCell="C2" sqref="C2"/>
    </sheetView>
  </sheetViews>
  <sheetFormatPr defaultColWidth="14.42578125" defaultRowHeight="15.75" customHeight="1" x14ac:dyDescent="0.2"/>
  <cols>
    <col min="1" max="1" width="28.28515625" customWidth="1"/>
    <col min="2" max="2" width="8" customWidth="1"/>
    <col min="3" max="3" width="23.140625" customWidth="1"/>
    <col min="21" max="21" width="16.28515625" customWidth="1"/>
    <col min="24" max="24" width="13.5703125" customWidth="1"/>
  </cols>
  <sheetData>
    <row r="1" spans="1:29" ht="12.75" x14ac:dyDescent="0.2">
      <c r="A1" s="4" t="s">
        <v>1</v>
      </c>
    </row>
    <row r="2" spans="1:29" ht="12.75" x14ac:dyDescent="0.2">
      <c r="A2" s="6" t="s">
        <v>4</v>
      </c>
      <c r="B2" s="9"/>
      <c r="C2" s="9"/>
      <c r="D2" s="9"/>
      <c r="E2" s="9"/>
      <c r="F2" s="9"/>
      <c r="G2" s="9"/>
      <c r="H2" s="9"/>
      <c r="I2" s="9"/>
      <c r="J2" s="9"/>
      <c r="K2" s="9"/>
      <c r="L2" s="9"/>
      <c r="M2" s="9"/>
      <c r="N2" s="9"/>
      <c r="O2" s="9"/>
      <c r="P2" s="9"/>
    </row>
    <row r="3" spans="1:29" ht="12.75" x14ac:dyDescent="0.2">
      <c r="E3" s="37" t="s">
        <v>13</v>
      </c>
    </row>
    <row r="4" spans="1:29" ht="12.75" x14ac:dyDescent="0.2">
      <c r="A4" s="38" t="s">
        <v>45</v>
      </c>
      <c r="B4" s="8"/>
      <c r="C4" s="8"/>
      <c r="D4" s="39">
        <f>'New Implementation Costs'!I21</f>
        <v>0.51692916666666666</v>
      </c>
      <c r="E4" s="4" t="s">
        <v>46</v>
      </c>
      <c r="F4" s="4"/>
    </row>
    <row r="5" spans="1:29" ht="12.75" x14ac:dyDescent="0.2">
      <c r="A5" s="40"/>
      <c r="B5" s="40"/>
      <c r="C5" s="40"/>
      <c r="D5" s="41"/>
      <c r="E5" s="37"/>
      <c r="F5" s="41"/>
      <c r="G5" s="40"/>
      <c r="H5" s="40"/>
      <c r="I5" s="40"/>
      <c r="J5" s="40"/>
      <c r="K5" s="41"/>
      <c r="L5" s="40"/>
      <c r="M5" s="40"/>
      <c r="N5" s="40"/>
      <c r="O5" s="40"/>
      <c r="P5" s="41"/>
      <c r="Q5" s="40"/>
      <c r="R5" s="40"/>
      <c r="S5" s="40"/>
      <c r="T5" s="40"/>
      <c r="U5" s="40"/>
      <c r="V5" s="40"/>
      <c r="W5" s="40"/>
      <c r="X5" s="40"/>
      <c r="Y5" s="40"/>
      <c r="Z5" s="40"/>
      <c r="AA5" s="40"/>
      <c r="AB5" s="40"/>
      <c r="AC5" s="40"/>
    </row>
    <row r="6" spans="1:29" ht="12.75" x14ac:dyDescent="0.2">
      <c r="A6" s="6" t="s">
        <v>49</v>
      </c>
      <c r="B6" s="9"/>
      <c r="C6" s="9"/>
      <c r="D6" s="25"/>
      <c r="E6" s="25"/>
      <c r="F6" s="25"/>
      <c r="G6" s="40"/>
      <c r="H6" s="40"/>
      <c r="I6" s="40"/>
      <c r="J6" s="40"/>
      <c r="K6" s="40"/>
      <c r="L6" s="42"/>
      <c r="M6" s="42"/>
      <c r="N6" s="42"/>
      <c r="O6" s="42"/>
      <c r="P6" s="41"/>
      <c r="Q6" s="42"/>
      <c r="R6" s="42"/>
      <c r="S6" s="42"/>
      <c r="T6" s="42"/>
      <c r="U6" s="42"/>
      <c r="V6" s="42"/>
      <c r="W6" s="42"/>
      <c r="X6" s="42"/>
      <c r="Y6" s="42"/>
      <c r="Z6" s="42"/>
      <c r="AA6" s="42"/>
      <c r="AB6" s="42"/>
      <c r="AC6" s="42"/>
    </row>
    <row r="7" spans="1:29" ht="25.5" x14ac:dyDescent="0.2">
      <c r="A7" s="44" t="s">
        <v>25</v>
      </c>
      <c r="B7" s="45"/>
      <c r="C7" s="45"/>
      <c r="D7" s="26" t="s">
        <v>50</v>
      </c>
      <c r="E7" s="47"/>
      <c r="F7" s="26" t="s">
        <v>53</v>
      </c>
      <c r="G7" s="42"/>
      <c r="H7" s="42"/>
      <c r="I7" s="42"/>
      <c r="J7" s="42"/>
      <c r="K7" s="41"/>
      <c r="L7" s="40"/>
      <c r="M7" s="40"/>
      <c r="N7" s="40"/>
      <c r="O7" s="40"/>
      <c r="P7" s="40"/>
      <c r="Q7" s="40"/>
      <c r="R7" s="40"/>
      <c r="S7" s="40"/>
      <c r="T7" s="40"/>
      <c r="U7" s="40"/>
      <c r="V7" s="40"/>
      <c r="W7" s="40"/>
      <c r="X7" s="40"/>
      <c r="Y7" s="40"/>
      <c r="Z7" s="40"/>
      <c r="AA7" s="40"/>
      <c r="AB7" s="40"/>
      <c r="AC7" s="40"/>
    </row>
    <row r="8" spans="1:29" ht="12.75" x14ac:dyDescent="0.2">
      <c r="A8" s="4" t="s">
        <v>49</v>
      </c>
      <c r="D8" s="49">
        <f>D4/D116</f>
        <v>5821.4907125176151</v>
      </c>
      <c r="F8" s="50">
        <f>D4/F116</f>
        <v>5518.1769392105743</v>
      </c>
      <c r="G8" s="40"/>
      <c r="H8" s="51"/>
      <c r="I8" s="52"/>
      <c r="J8" s="40"/>
      <c r="K8" s="40"/>
      <c r="L8" s="40"/>
      <c r="M8" s="40"/>
      <c r="N8" s="40"/>
      <c r="O8" s="40"/>
      <c r="P8" s="40"/>
      <c r="Q8" s="40"/>
      <c r="R8" s="40"/>
      <c r="S8" s="40"/>
      <c r="T8" s="40"/>
      <c r="U8" s="40"/>
      <c r="V8" s="40"/>
      <c r="W8" s="40"/>
      <c r="X8" s="40"/>
      <c r="Y8" s="40"/>
      <c r="Z8" s="40"/>
      <c r="AA8" s="40"/>
      <c r="AB8" s="40"/>
      <c r="AC8" s="40"/>
    </row>
    <row r="9" spans="1:29" ht="25.5" x14ac:dyDescent="0.2">
      <c r="A9" s="53" t="s">
        <v>56</v>
      </c>
      <c r="D9" s="54">
        <f>D4/D117</f>
        <v>7159.7360225025632</v>
      </c>
      <c r="F9" s="55">
        <f>D4/F117</f>
        <v>6564.2796412506104</v>
      </c>
      <c r="G9" s="40"/>
      <c r="H9" s="40"/>
      <c r="I9" s="37"/>
      <c r="J9" s="40"/>
      <c r="K9" s="40"/>
      <c r="L9" s="40"/>
      <c r="M9" s="40"/>
      <c r="N9" s="40"/>
      <c r="O9" s="40"/>
      <c r="P9" s="40"/>
      <c r="Q9" s="40"/>
      <c r="R9" s="40"/>
      <c r="S9" s="40"/>
      <c r="T9" s="40"/>
      <c r="U9" s="40"/>
      <c r="V9" s="40"/>
      <c r="W9" s="40"/>
      <c r="X9" s="40"/>
      <c r="Y9" s="40"/>
      <c r="Z9" s="40"/>
      <c r="AA9" s="40"/>
      <c r="AB9" s="40"/>
      <c r="AC9" s="40"/>
    </row>
    <row r="11" spans="1:29" ht="12.75" x14ac:dyDescent="0.2">
      <c r="A11" s="6" t="s">
        <v>58</v>
      </c>
      <c r="B11" s="9"/>
      <c r="C11" s="9"/>
      <c r="D11" s="25"/>
      <c r="E11" s="25"/>
      <c r="F11" s="25"/>
      <c r="G11" s="40"/>
      <c r="H11" s="40"/>
      <c r="I11" s="40"/>
      <c r="J11" s="40"/>
      <c r="K11" s="40"/>
      <c r="L11" s="42"/>
      <c r="M11" s="42"/>
      <c r="N11" s="42"/>
      <c r="O11" s="42"/>
      <c r="P11" s="41"/>
      <c r="Q11" s="42"/>
      <c r="R11" s="42"/>
      <c r="S11" s="42"/>
      <c r="T11" s="42"/>
      <c r="U11" s="42"/>
      <c r="V11" s="42"/>
      <c r="W11" s="42"/>
      <c r="X11" s="42"/>
      <c r="Y11" s="42"/>
      <c r="Z11" s="42"/>
      <c r="AA11" s="42"/>
      <c r="AB11" s="42"/>
      <c r="AC11" s="42"/>
    </row>
    <row r="12" spans="1:29" ht="25.5" x14ac:dyDescent="0.2">
      <c r="A12" s="44" t="s">
        <v>25</v>
      </c>
      <c r="B12" s="45"/>
      <c r="C12" s="45"/>
      <c r="D12" s="26" t="s">
        <v>59</v>
      </c>
      <c r="E12" s="47"/>
      <c r="F12" s="26" t="s">
        <v>61</v>
      </c>
      <c r="G12" s="42"/>
      <c r="H12" s="42"/>
      <c r="I12" s="42"/>
      <c r="J12" s="42"/>
      <c r="K12" s="41"/>
      <c r="L12" s="40"/>
      <c r="M12" s="40"/>
      <c r="N12" s="40"/>
      <c r="O12" s="40"/>
      <c r="P12" s="42"/>
      <c r="Q12" s="40"/>
      <c r="R12" s="40"/>
      <c r="S12" s="40"/>
      <c r="T12" s="40"/>
      <c r="U12" s="40"/>
      <c r="V12" s="40"/>
      <c r="W12" s="40"/>
      <c r="X12" s="40"/>
      <c r="Y12" s="40"/>
      <c r="Z12" s="40"/>
      <c r="AA12" s="40"/>
      <c r="AB12" s="40"/>
      <c r="AC12" s="40"/>
    </row>
    <row r="13" spans="1:29" ht="12.75" x14ac:dyDescent="0.2">
      <c r="A13" s="53" t="s">
        <v>63</v>
      </c>
      <c r="D13" s="56">
        <f>D4/K116</f>
        <v>15006.052011334972</v>
      </c>
      <c r="E13" s="57"/>
      <c r="F13" s="56">
        <f>D4/P116</f>
        <v>67.951824483642056</v>
      </c>
      <c r="G13" s="40"/>
      <c r="H13" s="40"/>
      <c r="I13" s="37"/>
      <c r="J13" s="40"/>
      <c r="K13" s="40"/>
      <c r="L13" s="40"/>
      <c r="M13" s="40"/>
      <c r="N13" s="40"/>
      <c r="O13" s="40"/>
      <c r="P13" s="40"/>
      <c r="Q13" s="40"/>
      <c r="R13" s="40"/>
      <c r="S13" s="40"/>
      <c r="T13" s="40"/>
      <c r="U13" s="40"/>
      <c r="V13" s="40"/>
      <c r="W13" s="40"/>
      <c r="X13" s="40"/>
      <c r="Y13" s="40"/>
      <c r="Z13" s="40"/>
      <c r="AA13" s="40"/>
      <c r="AB13" s="40"/>
      <c r="AC13" s="40"/>
    </row>
    <row r="14" spans="1:29" ht="25.5" x14ac:dyDescent="0.2">
      <c r="A14" s="53" t="s">
        <v>65</v>
      </c>
      <c r="D14" s="54">
        <f>D4/K117</f>
        <v>49147.464601565218</v>
      </c>
      <c r="E14" s="57"/>
      <c r="F14" s="54">
        <f>D4/P117</f>
        <v>83.859922529418185</v>
      </c>
      <c r="G14" s="40"/>
      <c r="H14" s="40"/>
      <c r="I14" s="37"/>
      <c r="J14" s="40"/>
      <c r="K14" s="40"/>
      <c r="L14" s="40"/>
      <c r="M14" s="40"/>
      <c r="N14" s="40"/>
      <c r="O14" s="40"/>
      <c r="P14" s="40"/>
      <c r="Q14" s="40"/>
      <c r="R14" s="40"/>
      <c r="S14" s="40"/>
      <c r="T14" s="40"/>
      <c r="U14" s="40"/>
      <c r="V14" s="40"/>
      <c r="W14" s="40"/>
      <c r="X14" s="40"/>
      <c r="Y14" s="40"/>
      <c r="Z14" s="40"/>
      <c r="AA14" s="40"/>
      <c r="AB14" s="40"/>
      <c r="AC14" s="40"/>
    </row>
    <row r="15" spans="1:29" ht="12.75" x14ac:dyDescent="0.2">
      <c r="A15" s="53"/>
      <c r="D15" s="57"/>
      <c r="G15" s="40"/>
      <c r="H15" s="40"/>
      <c r="I15" s="37"/>
      <c r="J15" s="40"/>
      <c r="K15" s="40"/>
      <c r="L15" s="40"/>
      <c r="M15" s="40"/>
      <c r="N15" s="40"/>
      <c r="O15" s="40"/>
      <c r="P15" s="40"/>
      <c r="Q15" s="40"/>
      <c r="R15" s="40"/>
      <c r="S15" s="40"/>
      <c r="T15" s="40"/>
      <c r="U15" s="40"/>
      <c r="V15" s="40"/>
      <c r="W15" s="40"/>
      <c r="X15" s="40"/>
      <c r="Y15" s="40"/>
      <c r="Z15" s="40"/>
      <c r="AA15" s="40"/>
      <c r="AB15" s="40"/>
      <c r="AC15" s="40"/>
    </row>
    <row r="16" spans="1:29" ht="12.75" x14ac:dyDescent="0.2">
      <c r="C16" s="4"/>
      <c r="D16" s="4"/>
      <c r="E16" s="4"/>
    </row>
    <row r="17" spans="1:29" ht="12.75" x14ac:dyDescent="0.2">
      <c r="A17" s="6"/>
      <c r="B17" s="25"/>
      <c r="C17" s="272" t="s">
        <v>67</v>
      </c>
      <c r="D17" s="262"/>
      <c r="E17" s="262"/>
      <c r="G17" s="6" t="s">
        <v>69</v>
      </c>
      <c r="H17" s="6"/>
      <c r="I17" s="59"/>
      <c r="J17" s="59"/>
      <c r="K17" s="59"/>
      <c r="L17" s="59"/>
      <c r="M17" s="59"/>
      <c r="N17" s="59"/>
      <c r="O17" s="59"/>
      <c r="P17" s="59"/>
      <c r="Q17" s="25"/>
      <c r="R17" s="59"/>
      <c r="S17" s="59"/>
      <c r="T17" s="59"/>
      <c r="U17" s="59"/>
      <c r="V17" s="25"/>
      <c r="W17" s="25"/>
      <c r="X17" s="59"/>
      <c r="Y17" s="25"/>
      <c r="Z17" s="25"/>
      <c r="AA17" s="25"/>
      <c r="AB17" s="25"/>
      <c r="AC17" s="25"/>
    </row>
    <row r="18" spans="1:29" ht="25.5" x14ac:dyDescent="0.2">
      <c r="A18" s="27"/>
      <c r="B18" s="27"/>
      <c r="C18" s="26" t="s">
        <v>71</v>
      </c>
      <c r="D18" s="26" t="s">
        <v>72</v>
      </c>
      <c r="E18" s="26" t="s">
        <v>73</v>
      </c>
      <c r="G18" s="26" t="s">
        <v>74</v>
      </c>
      <c r="H18" s="26" t="s">
        <v>75</v>
      </c>
      <c r="I18" s="26" t="s">
        <v>76</v>
      </c>
      <c r="J18" s="61" t="s">
        <v>77</v>
      </c>
      <c r="K18" s="26" t="s">
        <v>78</v>
      </c>
      <c r="L18" s="26" t="s">
        <v>79</v>
      </c>
      <c r="M18" s="26" t="s">
        <v>81</v>
      </c>
      <c r="N18" s="26" t="s">
        <v>82</v>
      </c>
      <c r="O18" s="26" t="s">
        <v>83</v>
      </c>
      <c r="P18" s="26" t="s">
        <v>84</v>
      </c>
      <c r="Q18" s="26" t="s">
        <v>85</v>
      </c>
      <c r="R18" s="26" t="s">
        <v>86</v>
      </c>
      <c r="S18" s="26"/>
      <c r="T18" s="26"/>
      <c r="U18" s="26"/>
      <c r="V18" s="26"/>
      <c r="W18" s="26"/>
      <c r="X18" s="26"/>
      <c r="Y18" s="26"/>
      <c r="Z18" s="27"/>
      <c r="AA18" s="27"/>
      <c r="AB18" s="27"/>
      <c r="AC18" s="27"/>
    </row>
    <row r="19" spans="1:29" x14ac:dyDescent="0.25">
      <c r="A19" s="29" t="s">
        <v>40</v>
      </c>
      <c r="B19" s="30"/>
      <c r="C19" s="62">
        <v>0.33323967500000001</v>
      </c>
      <c r="D19" s="62">
        <v>0.35284200999999998</v>
      </c>
      <c r="E19" s="62">
        <v>7.8409334999999997E-2</v>
      </c>
      <c r="G19" s="63">
        <f>I19/(R19/P19)</f>
        <v>0.81103448275862067</v>
      </c>
      <c r="H19" s="64">
        <f>((G19-I19)/2)+I19</f>
        <v>0.79751724137931035</v>
      </c>
      <c r="I19" s="64">
        <v>0.78400000000000003</v>
      </c>
      <c r="L19" s="64">
        <v>0.83</v>
      </c>
      <c r="M19" s="63">
        <f>N19/(Q19/P19)</f>
        <v>0.8735593220338983</v>
      </c>
      <c r="N19" s="64">
        <v>0.85899999999999999</v>
      </c>
      <c r="O19" s="64">
        <v>0.748</v>
      </c>
      <c r="P19" s="63">
        <v>0.9</v>
      </c>
      <c r="Q19" s="65">
        <f>((P19-R19)/2)+R19</f>
        <v>0.88500000000000001</v>
      </c>
      <c r="R19" s="64">
        <v>0.87</v>
      </c>
      <c r="S19" s="64"/>
      <c r="T19" s="65"/>
      <c r="U19" s="64"/>
    </row>
    <row r="20" spans="1:29" ht="12.75" x14ac:dyDescent="0.2">
      <c r="A20" s="35" t="s">
        <v>89</v>
      </c>
      <c r="C20" s="4">
        <v>0.33323967500000001</v>
      </c>
      <c r="D20" s="4">
        <v>0.35284200900000001</v>
      </c>
      <c r="E20" s="4">
        <v>7.8409334999999997E-2</v>
      </c>
      <c r="G20" s="65">
        <f t="shared" ref="G20:I20" si="0">G19</f>
        <v>0.81103448275862067</v>
      </c>
      <c r="H20" s="65">
        <f t="shared" si="0"/>
        <v>0.79751724137931035</v>
      </c>
      <c r="I20" s="65">
        <f t="shared" si="0"/>
        <v>0.78400000000000003</v>
      </c>
      <c r="M20" s="65">
        <f t="shared" ref="M20:R20" si="1">M19</f>
        <v>0.8735593220338983</v>
      </c>
      <c r="N20" s="65">
        <f t="shared" si="1"/>
        <v>0.85899999999999999</v>
      </c>
      <c r="O20" s="65">
        <f t="shared" si="1"/>
        <v>0.748</v>
      </c>
      <c r="P20" s="65">
        <f t="shared" si="1"/>
        <v>0.9</v>
      </c>
      <c r="Q20" s="65">
        <f t="shared" si="1"/>
        <v>0.88500000000000001</v>
      </c>
      <c r="R20" s="65">
        <f t="shared" si="1"/>
        <v>0.87</v>
      </c>
      <c r="S20" s="65"/>
      <c r="T20" s="65"/>
      <c r="U20" s="65"/>
    </row>
    <row r="21" spans="1:29" x14ac:dyDescent="0.25">
      <c r="A21" s="29" t="s">
        <v>44</v>
      </c>
      <c r="B21" s="30"/>
      <c r="C21" s="4">
        <v>0.42138827800000001</v>
      </c>
      <c r="D21" s="4">
        <v>0.25283296700000002</v>
      </c>
      <c r="E21" s="4">
        <v>8.4277656000000006E-2</v>
      </c>
      <c r="G21" s="65">
        <f>G19</f>
        <v>0.81103448275862067</v>
      </c>
      <c r="H21" s="65">
        <f t="shared" ref="H21:I21" si="2">H20</f>
        <v>0.79751724137931035</v>
      </c>
      <c r="I21" s="65">
        <f t="shared" si="2"/>
        <v>0.78400000000000003</v>
      </c>
      <c r="M21" s="65">
        <f>M19</f>
        <v>0.8735593220338983</v>
      </c>
      <c r="N21" s="65">
        <f t="shared" ref="N21:O21" si="3">N20</f>
        <v>0.85899999999999999</v>
      </c>
      <c r="O21" s="65">
        <f t="shared" si="3"/>
        <v>0.748</v>
      </c>
      <c r="P21" s="65">
        <f t="shared" ref="P21:R21" si="4">P19</f>
        <v>0.9</v>
      </c>
      <c r="Q21" s="65">
        <f t="shared" si="4"/>
        <v>0.88500000000000001</v>
      </c>
      <c r="R21" s="65">
        <f t="shared" si="4"/>
        <v>0.87</v>
      </c>
      <c r="S21" s="65"/>
      <c r="T21" s="65"/>
      <c r="U21" s="65"/>
    </row>
    <row r="22" spans="1:29" x14ac:dyDescent="0.25">
      <c r="A22" s="29" t="s">
        <v>48</v>
      </c>
      <c r="B22" s="30"/>
      <c r="C22" s="62">
        <v>0.88275882999999999</v>
      </c>
      <c r="D22" s="34">
        <f>(C22/(98.1/99.4)) - C22</f>
        <v>1.1698129245667821E-2</v>
      </c>
      <c r="E22" s="34"/>
      <c r="G22" s="69">
        <v>0.81100000000000005</v>
      </c>
      <c r="H22" s="64">
        <f>(Q22/P22)*G22</f>
        <v>0.64320689655172414</v>
      </c>
      <c r="J22" s="69">
        <v>0.74</v>
      </c>
      <c r="M22" s="69">
        <v>0.78900000000000003</v>
      </c>
      <c r="N22" s="64">
        <f>(Q22/P22)*M22</f>
        <v>0.62575862068965515</v>
      </c>
      <c r="P22" s="69">
        <v>0.87</v>
      </c>
      <c r="Q22" s="64">
        <v>0.69</v>
      </c>
      <c r="S22" s="64"/>
      <c r="T22" s="64"/>
      <c r="U22" s="65"/>
    </row>
    <row r="23" spans="1:29" ht="12.75" x14ac:dyDescent="0.2">
      <c r="A23" s="35" t="s">
        <v>52</v>
      </c>
      <c r="C23" s="35">
        <v>0.47</v>
      </c>
      <c r="D23" s="35">
        <v>0.28000000000000003</v>
      </c>
      <c r="E23" s="35">
        <v>0.2</v>
      </c>
      <c r="G23" s="64">
        <f t="shared" ref="G23:I23" si="5">G19</f>
        <v>0.81103448275862067</v>
      </c>
      <c r="H23" s="64">
        <f t="shared" si="5"/>
        <v>0.79751724137931035</v>
      </c>
      <c r="I23" s="64">
        <f t="shared" si="5"/>
        <v>0.78400000000000003</v>
      </c>
      <c r="K23" s="4"/>
      <c r="M23" s="64">
        <f t="shared" ref="M23:O23" si="6">M19</f>
        <v>0.8735593220338983</v>
      </c>
      <c r="N23" s="64">
        <f t="shared" si="6"/>
        <v>0.85899999999999999</v>
      </c>
      <c r="O23" s="64">
        <f t="shared" si="6"/>
        <v>0.748</v>
      </c>
      <c r="P23" s="65">
        <f>R23/(R19/P19)</f>
        <v>0.46551724137931033</v>
      </c>
      <c r="Q23" s="65">
        <f>((P23-R23)/2)+R23</f>
        <v>0.45775862068965517</v>
      </c>
      <c r="R23" s="64">
        <v>0.45</v>
      </c>
      <c r="S23" s="65"/>
      <c r="T23" s="65"/>
      <c r="U23" s="65"/>
    </row>
    <row r="24" spans="1:29" ht="12.75" x14ac:dyDescent="0.2">
      <c r="A24" s="73" t="s">
        <v>55</v>
      </c>
      <c r="C24" s="34">
        <f t="shared" ref="C24:E24" si="7">C23</f>
        <v>0.47</v>
      </c>
      <c r="D24" s="34">
        <f t="shared" si="7"/>
        <v>0.28000000000000003</v>
      </c>
      <c r="E24" s="34">
        <f t="shared" si="7"/>
        <v>0.2</v>
      </c>
      <c r="G24" s="65">
        <f t="shared" ref="G24:I24" si="8">G23</f>
        <v>0.81103448275862067</v>
      </c>
      <c r="H24" s="64">
        <f t="shared" si="8"/>
        <v>0.79751724137931035</v>
      </c>
      <c r="I24" s="64">
        <f t="shared" si="8"/>
        <v>0.78400000000000003</v>
      </c>
      <c r="J24" s="4"/>
      <c r="K24" s="4"/>
      <c r="M24" s="65">
        <f t="shared" ref="M24:R24" si="9">M23</f>
        <v>0.8735593220338983</v>
      </c>
      <c r="N24" s="64">
        <f t="shared" si="9"/>
        <v>0.85899999999999999</v>
      </c>
      <c r="O24" s="64">
        <f t="shared" si="9"/>
        <v>0.748</v>
      </c>
      <c r="P24" s="65">
        <f t="shared" si="9"/>
        <v>0.46551724137931033</v>
      </c>
      <c r="Q24" s="65">
        <f t="shared" si="9"/>
        <v>0.45775862068965517</v>
      </c>
      <c r="R24" s="65">
        <f t="shared" si="9"/>
        <v>0.45</v>
      </c>
      <c r="S24" s="65"/>
      <c r="T24" s="65"/>
      <c r="U24" s="65"/>
    </row>
    <row r="25" spans="1:29" ht="12.75" x14ac:dyDescent="0.2">
      <c r="A25" s="35" t="s">
        <v>62</v>
      </c>
      <c r="C25" s="35">
        <v>0.3</v>
      </c>
      <c r="D25" s="62">
        <v>0.4</v>
      </c>
      <c r="E25" s="62">
        <v>0.25</v>
      </c>
      <c r="G25" s="64">
        <f t="shared" ref="G25:I25" si="10">G19</f>
        <v>0.81103448275862067</v>
      </c>
      <c r="H25" s="64">
        <f t="shared" si="10"/>
        <v>0.79751724137931035</v>
      </c>
      <c r="I25" s="64">
        <f t="shared" si="10"/>
        <v>0.78400000000000003</v>
      </c>
      <c r="M25" s="64">
        <f t="shared" ref="M25:Q25" si="11">M19</f>
        <v>0.8735593220338983</v>
      </c>
      <c r="N25" s="64">
        <f t="shared" si="11"/>
        <v>0.85899999999999999</v>
      </c>
      <c r="O25" s="64">
        <f t="shared" si="11"/>
        <v>0.748</v>
      </c>
      <c r="P25" s="65">
        <f t="shared" si="11"/>
        <v>0.9</v>
      </c>
      <c r="Q25" s="65">
        <f t="shared" si="11"/>
        <v>0.88500000000000001</v>
      </c>
      <c r="R25" s="64">
        <v>0.87</v>
      </c>
      <c r="S25" s="65"/>
      <c r="T25" s="65"/>
      <c r="U25" s="64"/>
      <c r="X25" s="4"/>
    </row>
    <row r="26" spans="1:29" x14ac:dyDescent="0.25">
      <c r="A26" s="29" t="s">
        <v>70</v>
      </c>
      <c r="B26" s="30"/>
      <c r="C26" s="35">
        <v>0.71599999999999997</v>
      </c>
      <c r="D26" s="74"/>
      <c r="E26" s="34"/>
      <c r="F26" s="80"/>
      <c r="S26" s="65"/>
      <c r="T26" s="65"/>
      <c r="U26" s="65"/>
    </row>
    <row r="27" spans="1:29" ht="12.75" x14ac:dyDescent="0.2">
      <c r="A27" s="35" t="s">
        <v>88</v>
      </c>
      <c r="C27" s="82">
        <v>0.2336424</v>
      </c>
      <c r="D27" s="82">
        <v>0.247384615921</v>
      </c>
      <c r="E27" s="82">
        <v>5.4972159999999999E-2</v>
      </c>
      <c r="S27" s="65"/>
      <c r="T27" s="65"/>
      <c r="U27" s="65"/>
    </row>
    <row r="28" spans="1:29" x14ac:dyDescent="0.25">
      <c r="A28" s="35" t="s">
        <v>104</v>
      </c>
      <c r="C28" s="35">
        <f>0.58 * (0.781/0.946)</f>
        <v>0.47883720930232554</v>
      </c>
      <c r="D28" s="34">
        <f>(0.58 * (0.898 /0.946)) - C28</f>
        <v>7.1733615221987401E-2</v>
      </c>
      <c r="E28" s="34">
        <f>0.58 - (C28+D28)</f>
        <v>2.9429175475687019E-2</v>
      </c>
      <c r="K28" s="4"/>
      <c r="L28" s="80"/>
      <c r="P28" s="80"/>
      <c r="S28" s="65"/>
      <c r="T28" s="65"/>
      <c r="U28" s="65"/>
      <c r="X28" s="4"/>
    </row>
    <row r="29" spans="1:29" x14ac:dyDescent="0.25">
      <c r="A29" s="35" t="s">
        <v>107</v>
      </c>
      <c r="C29" s="34"/>
      <c r="D29" s="34"/>
      <c r="E29" s="34"/>
      <c r="K29" s="4"/>
      <c r="L29" s="80"/>
      <c r="P29" s="80"/>
      <c r="S29" s="65"/>
      <c r="T29" s="65"/>
      <c r="U29" s="64"/>
      <c r="X29" s="4"/>
    </row>
    <row r="30" spans="1:29" x14ac:dyDescent="0.25">
      <c r="A30" s="35" t="s">
        <v>95</v>
      </c>
      <c r="C30" s="35">
        <v>0.8</v>
      </c>
      <c r="D30" s="34"/>
      <c r="E30" s="34"/>
      <c r="K30" s="4"/>
      <c r="L30" s="80"/>
      <c r="P30" s="80"/>
      <c r="S30" s="65"/>
      <c r="T30" s="65"/>
      <c r="U30" s="64"/>
    </row>
    <row r="31" spans="1:29" ht="12.75" x14ac:dyDescent="0.2">
      <c r="A31" s="35" t="s">
        <v>98</v>
      </c>
      <c r="C31" s="34"/>
      <c r="D31" s="34"/>
      <c r="E31" s="34"/>
      <c r="G31" s="94">
        <v>0.60199999999999998</v>
      </c>
      <c r="M31" s="94">
        <v>0.45200000000000001</v>
      </c>
      <c r="Q31" s="4"/>
      <c r="S31" s="64"/>
      <c r="T31" s="65"/>
      <c r="U31" s="65"/>
    </row>
    <row r="32" spans="1:29" ht="12.75" x14ac:dyDescent="0.2">
      <c r="I32" s="65"/>
      <c r="J32" s="65"/>
      <c r="K32" s="65"/>
      <c r="Q32" s="4"/>
      <c r="S32" s="65"/>
      <c r="T32" s="65"/>
      <c r="U32" s="65"/>
    </row>
    <row r="33" spans="1:29" ht="12.75" x14ac:dyDescent="0.2">
      <c r="A33" s="4" t="s">
        <v>112</v>
      </c>
    </row>
    <row r="34" spans="1:29" ht="12.75" x14ac:dyDescent="0.2">
      <c r="Q34" s="4"/>
    </row>
    <row r="35" spans="1:29" ht="12.75" x14ac:dyDescent="0.2">
      <c r="A35" s="6" t="s">
        <v>113</v>
      </c>
      <c r="B35" s="25"/>
      <c r="C35" s="273"/>
      <c r="D35" s="262"/>
      <c r="E35" s="262"/>
      <c r="G35" s="41"/>
      <c r="H35" s="41"/>
      <c r="I35" s="37"/>
      <c r="J35" s="37"/>
      <c r="K35" s="37"/>
      <c r="L35" s="37"/>
      <c r="M35" s="37"/>
      <c r="N35" s="37"/>
      <c r="O35" s="37"/>
      <c r="P35" s="37"/>
      <c r="Q35" s="40"/>
      <c r="R35" s="37"/>
      <c r="S35" s="37"/>
      <c r="T35" s="37"/>
      <c r="U35" s="37"/>
      <c r="V35" s="40"/>
      <c r="W35" s="40"/>
      <c r="X35" s="37"/>
      <c r="Y35" s="40"/>
      <c r="Z35" s="40"/>
      <c r="AA35" s="40"/>
      <c r="AB35" s="40"/>
      <c r="AC35" s="40"/>
    </row>
    <row r="36" spans="1:29" ht="12.75" x14ac:dyDescent="0.2">
      <c r="A36" s="95" t="s">
        <v>114</v>
      </c>
      <c r="B36" s="27"/>
      <c r="C36" s="26"/>
      <c r="D36" s="26"/>
      <c r="E36" s="26"/>
      <c r="G36" s="86"/>
      <c r="H36" s="86"/>
      <c r="I36" s="86"/>
      <c r="J36" s="96"/>
      <c r="K36" s="86"/>
      <c r="L36" s="86"/>
      <c r="M36" s="86"/>
      <c r="N36" s="86"/>
      <c r="O36" s="86"/>
      <c r="P36" s="86"/>
      <c r="Q36" s="86"/>
      <c r="R36" s="86"/>
      <c r="S36" s="86"/>
      <c r="T36" s="86"/>
      <c r="U36" s="86"/>
      <c r="V36" s="86"/>
      <c r="W36" s="86"/>
      <c r="X36" s="86"/>
      <c r="Y36" s="86"/>
      <c r="Z36" s="85"/>
      <c r="AA36" s="85"/>
      <c r="AB36" s="85"/>
      <c r="AC36" s="85"/>
    </row>
    <row r="37" spans="1:29" ht="25.5" x14ac:dyDescent="0.2">
      <c r="A37" s="97" t="s">
        <v>115</v>
      </c>
      <c r="C37" s="98">
        <f>'Study results - Gap Reduced'!X8</f>
        <v>0.34912193021260252</v>
      </c>
      <c r="Q37" s="4"/>
    </row>
    <row r="38" spans="1:29" ht="12.75" x14ac:dyDescent="0.2">
      <c r="Q38" s="4"/>
    </row>
    <row r="39" spans="1:29" ht="12.75" x14ac:dyDescent="0.2">
      <c r="Q39" s="4"/>
    </row>
    <row r="40" spans="1:29" ht="12.75" x14ac:dyDescent="0.2">
      <c r="A40" s="47" t="s">
        <v>117</v>
      </c>
      <c r="B40" s="83"/>
      <c r="C40" s="83"/>
      <c r="D40" s="83"/>
      <c r="E40" s="83"/>
      <c r="F40" s="40"/>
      <c r="G40" s="40"/>
      <c r="H40" s="40"/>
      <c r="I40" s="40"/>
      <c r="J40" s="40"/>
      <c r="K40" s="40"/>
      <c r="L40" s="40"/>
      <c r="M40" s="40"/>
      <c r="N40" s="40"/>
      <c r="O40" s="40"/>
      <c r="P40" s="40"/>
      <c r="Q40" s="37"/>
      <c r="R40" s="40"/>
      <c r="S40" s="40"/>
      <c r="T40" s="40"/>
      <c r="U40" s="40"/>
      <c r="V40" s="40"/>
      <c r="W40" s="40"/>
      <c r="X40" s="40"/>
      <c r="Y40" s="40"/>
      <c r="Z40" s="40"/>
      <c r="AA40" s="40"/>
      <c r="AB40" s="40"/>
      <c r="AC40" s="40"/>
    </row>
    <row r="41" spans="1:29" ht="25.5" x14ac:dyDescent="0.2">
      <c r="A41" s="100" t="s">
        <v>118</v>
      </c>
      <c r="C41" s="64">
        <f>'Notes of factors not taken into'!J21</f>
        <v>0.4979329612426816</v>
      </c>
      <c r="Q41" s="4"/>
    </row>
    <row r="42" spans="1:29" ht="25.5" hidden="1" x14ac:dyDescent="0.2">
      <c r="A42" s="100" t="s">
        <v>122</v>
      </c>
      <c r="C42" s="104"/>
      <c r="Q42" s="4"/>
    </row>
    <row r="43" spans="1:29" ht="12.75" x14ac:dyDescent="0.2">
      <c r="A43" s="100" t="s">
        <v>124</v>
      </c>
      <c r="C43" s="64">
        <v>0.8</v>
      </c>
      <c r="Q43" s="4"/>
    </row>
    <row r="44" spans="1:29" ht="12.75" x14ac:dyDescent="0.2">
      <c r="Q44" s="4"/>
    </row>
    <row r="45" spans="1:29" ht="12.75" x14ac:dyDescent="0.2">
      <c r="Q45" s="4"/>
    </row>
    <row r="46" spans="1:29" ht="12.75" x14ac:dyDescent="0.2">
      <c r="Q46" s="4"/>
    </row>
    <row r="47" spans="1:29" ht="12.75" x14ac:dyDescent="0.2">
      <c r="A47" s="6" t="s">
        <v>125</v>
      </c>
      <c r="B47" s="25"/>
      <c r="C47" s="25"/>
      <c r="D47" s="25"/>
      <c r="E47" s="25"/>
      <c r="F47" s="25"/>
      <c r="G47" s="25"/>
      <c r="H47" s="25"/>
      <c r="I47" s="25"/>
      <c r="J47" s="25"/>
      <c r="K47" s="25"/>
      <c r="L47" s="25"/>
      <c r="M47" s="25"/>
      <c r="N47" s="25"/>
      <c r="O47" s="25"/>
      <c r="P47" s="25"/>
      <c r="Q47" s="59"/>
      <c r="R47" s="25"/>
      <c r="S47" s="25"/>
      <c r="T47" s="25"/>
      <c r="U47" s="25"/>
      <c r="V47" s="25"/>
      <c r="W47" s="25"/>
      <c r="X47" s="25"/>
      <c r="Y47" s="25"/>
      <c r="Z47" s="25"/>
      <c r="AA47" s="25"/>
      <c r="AB47" s="25"/>
      <c r="AC47" s="25"/>
    </row>
    <row r="48" spans="1:29" ht="25.5" x14ac:dyDescent="0.2">
      <c r="A48" s="27"/>
      <c r="B48" s="105"/>
      <c r="C48" s="26" t="s">
        <v>74</v>
      </c>
      <c r="D48" s="26" t="s">
        <v>75</v>
      </c>
      <c r="E48" s="26" t="s">
        <v>76</v>
      </c>
      <c r="F48" s="105"/>
      <c r="G48" s="26" t="s">
        <v>77</v>
      </c>
      <c r="H48" s="26" t="s">
        <v>78</v>
      </c>
      <c r="I48" s="26" t="s">
        <v>79</v>
      </c>
      <c r="J48" s="105"/>
      <c r="K48" s="105"/>
      <c r="L48" s="105"/>
      <c r="M48" s="105"/>
      <c r="N48" s="105"/>
      <c r="O48" s="105"/>
      <c r="P48" s="95" t="s">
        <v>84</v>
      </c>
      <c r="Q48" s="95" t="s">
        <v>85</v>
      </c>
      <c r="R48" s="26" t="s">
        <v>86</v>
      </c>
      <c r="S48" s="105"/>
      <c r="T48" s="105"/>
      <c r="U48" s="105"/>
      <c r="V48" s="105"/>
      <c r="W48" s="105"/>
      <c r="X48" s="105"/>
      <c r="Y48" s="105"/>
      <c r="Z48" s="105"/>
      <c r="AA48" s="105"/>
      <c r="AB48" s="105"/>
      <c r="AC48" s="105"/>
    </row>
    <row r="49" spans="1:18" ht="12.75" x14ac:dyDescent="0.2">
      <c r="A49" s="29" t="s">
        <v>40</v>
      </c>
      <c r="C49" s="65">
        <f>C37*(1-G19)*C41</f>
        <v>3.2849636367912438E-2</v>
      </c>
      <c r="D49" s="64">
        <f>C37*(1-H19)*C41</f>
        <v>3.5199464370872589E-2</v>
      </c>
      <c r="E49" s="64">
        <f>C37*(1-I19)*C41</f>
        <v>3.7549292373832747E-2</v>
      </c>
      <c r="G49" s="65">
        <f>C37*(1-L19)*C41</f>
        <v>2.9552683812738748E-2</v>
      </c>
      <c r="H49" s="64">
        <f>C37*(1-L19)*C41</f>
        <v>2.9552683812738748E-2</v>
      </c>
      <c r="I49" s="64">
        <f>C37*(1-L19)*C41</f>
        <v>2.9552683812738748E-2</v>
      </c>
      <c r="P49" s="65">
        <f>C37*(1-P19)*C41</f>
        <v>1.7383931654552195E-2</v>
      </c>
      <c r="Q49" s="65">
        <f>C37*(1-Q19)*C41</f>
        <v>1.9991521402735028E-2</v>
      </c>
      <c r="R49" s="64">
        <f>C37*(1-R19)*C41</f>
        <v>2.259911115091786E-2</v>
      </c>
    </row>
    <row r="50" spans="1:18" ht="12.75" x14ac:dyDescent="0.2">
      <c r="A50" s="35" t="s">
        <v>89</v>
      </c>
      <c r="C50" s="65">
        <f t="shared" ref="C50:E50" si="12">C49</f>
        <v>3.2849636367912438E-2</v>
      </c>
      <c r="D50" s="65">
        <f t="shared" si="12"/>
        <v>3.5199464370872589E-2</v>
      </c>
      <c r="E50" s="65">
        <f t="shared" si="12"/>
        <v>3.7549292373832747E-2</v>
      </c>
      <c r="G50" s="65">
        <f t="shared" ref="G50:I50" si="13">G49</f>
        <v>2.9552683812738748E-2</v>
      </c>
      <c r="H50" s="65">
        <f t="shared" si="13"/>
        <v>2.9552683812738748E-2</v>
      </c>
      <c r="I50" s="65">
        <f t="shared" si="13"/>
        <v>2.9552683812738748E-2</v>
      </c>
    </row>
    <row r="51" spans="1:18" ht="12.75" x14ac:dyDescent="0.2">
      <c r="A51" s="29" t="s">
        <v>44</v>
      </c>
      <c r="C51" s="64">
        <f t="shared" ref="C51:E51" si="14">C49</f>
        <v>3.2849636367912438E-2</v>
      </c>
      <c r="D51" s="64">
        <f t="shared" si="14"/>
        <v>3.5199464370872589E-2</v>
      </c>
      <c r="E51" s="64">
        <f t="shared" si="14"/>
        <v>3.7549292373832747E-2</v>
      </c>
      <c r="F51" s="64"/>
      <c r="G51" s="64">
        <f t="shared" ref="G51:I51" si="15">G49</f>
        <v>2.9552683812738748E-2</v>
      </c>
      <c r="H51" s="64">
        <f t="shared" si="15"/>
        <v>2.9552683812738748E-2</v>
      </c>
      <c r="I51" s="64">
        <f t="shared" si="15"/>
        <v>2.9552683812738748E-2</v>
      </c>
    </row>
    <row r="52" spans="1:18" ht="12.75" x14ac:dyDescent="0.2">
      <c r="A52" s="29" t="s">
        <v>48</v>
      </c>
      <c r="C52" s="65">
        <f>C37*(1-G22)*C41</f>
        <v>3.2855630827103646E-2</v>
      </c>
      <c r="D52" s="65">
        <f>C37*(1-H22)*C41</f>
        <v>6.2024669251604006E-2</v>
      </c>
      <c r="G52" s="65">
        <f>C37*(1-J22)*C41</f>
        <v>4.5198222301835719E-2</v>
      </c>
      <c r="H52" s="65">
        <f>C37*(1-L19)*C41</f>
        <v>2.9552683812738748E-2</v>
      </c>
      <c r="P52" s="65">
        <f>C37*(1-P22)*C41</f>
        <v>2.259911115091786E-2</v>
      </c>
      <c r="Q52" s="65">
        <f>C37*(1-Q22)*C41</f>
        <v>5.3890188129111831E-2</v>
      </c>
    </row>
    <row r="53" spans="1:18" ht="12.75" x14ac:dyDescent="0.2">
      <c r="A53" s="35" t="s">
        <v>52</v>
      </c>
      <c r="C53" s="65">
        <f>C37*(1-G23)*C41</f>
        <v>3.2849636367912438E-2</v>
      </c>
      <c r="D53" s="65">
        <f>C37*(1-H23)*C41</f>
        <v>3.5199464370872589E-2</v>
      </c>
      <c r="E53" s="65">
        <f>C37*(1-I23)*C41</f>
        <v>3.7549292373832747E-2</v>
      </c>
      <c r="G53" s="65">
        <f>C37*(1-L19)*C41</f>
        <v>2.9552683812738748E-2</v>
      </c>
      <c r="H53" s="65">
        <f>C37*(1-L19)*C41</f>
        <v>2.9552683812738748E-2</v>
      </c>
      <c r="I53" s="65">
        <f>C37*(1-L19)*C41</f>
        <v>2.9552683812738748E-2</v>
      </c>
      <c r="R53" s="65">
        <f>C37*(1-R23)*C41</f>
        <v>9.561162410003711E-2</v>
      </c>
    </row>
    <row r="54" spans="1:18" ht="12.75" x14ac:dyDescent="0.2">
      <c r="A54" s="35" t="s">
        <v>55</v>
      </c>
      <c r="C54" s="64">
        <f t="shared" ref="C54:E54" si="16">C53</f>
        <v>3.2849636367912438E-2</v>
      </c>
      <c r="D54" s="64">
        <f t="shared" si="16"/>
        <v>3.5199464370872589E-2</v>
      </c>
      <c r="E54" s="64">
        <f t="shared" si="16"/>
        <v>3.7549292373832747E-2</v>
      </c>
      <c r="F54" s="64"/>
      <c r="G54" s="64">
        <f t="shared" ref="G54:I54" si="17">G53</f>
        <v>2.9552683812738748E-2</v>
      </c>
      <c r="H54" s="64">
        <f t="shared" si="17"/>
        <v>2.9552683812738748E-2</v>
      </c>
      <c r="I54" s="64">
        <f t="shared" si="17"/>
        <v>2.9552683812738748E-2</v>
      </c>
    </row>
    <row r="55" spans="1:18" ht="12.75" x14ac:dyDescent="0.2">
      <c r="A55" s="35" t="s">
        <v>62</v>
      </c>
      <c r="C55" s="65">
        <f>C37*(1-G25)*C41</f>
        <v>3.2849636367912438E-2</v>
      </c>
      <c r="D55" s="65">
        <f>C37*(1-H25)*C41</f>
        <v>3.5199464370872589E-2</v>
      </c>
      <c r="E55" s="65">
        <f>C37*(1-I25)*C41</f>
        <v>3.7549292373832747E-2</v>
      </c>
      <c r="G55" s="65">
        <f>C37*(1-L19)*C41</f>
        <v>2.9552683812738748E-2</v>
      </c>
      <c r="H55" s="65">
        <f>C37*(1-L19)*C41</f>
        <v>2.9552683812738748E-2</v>
      </c>
      <c r="I55" s="65">
        <f>C37*(1-L19)*C41</f>
        <v>2.9552683812738748E-2</v>
      </c>
      <c r="Q55" s="65"/>
      <c r="R55" s="65">
        <f>C37*(1-R25)*C41</f>
        <v>2.259911115091786E-2</v>
      </c>
    </row>
    <row r="56" spans="1:18" ht="12.75" x14ac:dyDescent="0.2">
      <c r="A56" s="29" t="s">
        <v>70</v>
      </c>
      <c r="C56" s="104"/>
      <c r="D56" s="4"/>
    </row>
    <row r="57" spans="1:18" ht="12.75" x14ac:dyDescent="0.2">
      <c r="A57" s="35" t="s">
        <v>88</v>
      </c>
      <c r="C57" s="65">
        <f>C37*(1-G22)*C41</f>
        <v>3.2855630827103646E-2</v>
      </c>
      <c r="D57" s="65">
        <f>C37*(1-G22)*C41</f>
        <v>3.2855630827103646E-2</v>
      </c>
      <c r="E57" s="65">
        <f>C37*(1-G22)*C41</f>
        <v>3.2855630827103646E-2</v>
      </c>
      <c r="G57" s="65">
        <f>C37*(1-L19)*C41</f>
        <v>2.9552683812738748E-2</v>
      </c>
      <c r="H57" s="65">
        <f>C37*(1-L19)*C41</f>
        <v>2.9552683812738748E-2</v>
      </c>
      <c r="I57" s="65">
        <f>C37*(1-L19)*C41</f>
        <v>2.9552683812738748E-2</v>
      </c>
    </row>
    <row r="58" spans="1:18" ht="12.75" x14ac:dyDescent="0.2">
      <c r="A58" s="35" t="s">
        <v>91</v>
      </c>
      <c r="C58" s="65">
        <f>C37*(1-G22)*C41</f>
        <v>3.2855630827103646E-2</v>
      </c>
      <c r="D58" s="65">
        <f>C37*(1-G22)*C41</f>
        <v>3.2855630827103646E-2</v>
      </c>
      <c r="E58" s="65">
        <f>C37*(1-G22)*C41</f>
        <v>3.2855630827103646E-2</v>
      </c>
      <c r="G58" s="65">
        <f>C37*(1-L19)*C41</f>
        <v>2.9552683812738748E-2</v>
      </c>
      <c r="H58" s="65">
        <f>C37*(1-L19)*C41</f>
        <v>2.9552683812738748E-2</v>
      </c>
      <c r="I58" s="65">
        <f>C37*(1-L19)*C41</f>
        <v>2.9552683812738748E-2</v>
      </c>
    </row>
    <row r="59" spans="1:18" ht="12.75" x14ac:dyDescent="0.2">
      <c r="A59" s="35" t="s">
        <v>93</v>
      </c>
      <c r="C59" s="65">
        <f t="shared" ref="C59:E59" si="18">C58</f>
        <v>3.2855630827103646E-2</v>
      </c>
      <c r="D59" s="65">
        <f t="shared" si="18"/>
        <v>3.2855630827103646E-2</v>
      </c>
      <c r="E59" s="65">
        <f t="shared" si="18"/>
        <v>3.2855630827103646E-2</v>
      </c>
      <c r="F59" s="65"/>
      <c r="G59" s="65">
        <f t="shared" ref="G59:I59" si="19">G58</f>
        <v>2.9552683812738748E-2</v>
      </c>
      <c r="H59" s="65">
        <f t="shared" si="19"/>
        <v>2.9552683812738748E-2</v>
      </c>
      <c r="I59" s="65">
        <f t="shared" si="19"/>
        <v>2.9552683812738748E-2</v>
      </c>
    </row>
    <row r="60" spans="1:18" ht="12.75" x14ac:dyDescent="0.2">
      <c r="A60" s="35" t="s">
        <v>95</v>
      </c>
      <c r="C60" s="65">
        <f>C37*(1-G22)*C41</f>
        <v>3.2855630827103646E-2</v>
      </c>
      <c r="D60" s="4"/>
      <c r="G60" s="65">
        <f>C37*(1-L19)*C41</f>
        <v>2.9552683812738748E-2</v>
      </c>
    </row>
    <row r="61" spans="1:18" ht="12.75" x14ac:dyDescent="0.2">
      <c r="A61" s="35" t="s">
        <v>98</v>
      </c>
      <c r="C61" s="104"/>
      <c r="D61" s="4"/>
    </row>
    <row r="62" spans="1:18" ht="12.75" x14ac:dyDescent="0.2">
      <c r="A62" s="4"/>
      <c r="D62" s="4"/>
    </row>
    <row r="63" spans="1:18" ht="12.75" x14ac:dyDescent="0.2">
      <c r="A63" s="4" t="s">
        <v>170</v>
      </c>
      <c r="D63" s="4"/>
    </row>
    <row r="64" spans="1:18" ht="12.75" x14ac:dyDescent="0.2">
      <c r="A64" s="125"/>
    </row>
    <row r="65" spans="1:29" ht="12.75" x14ac:dyDescent="0.2">
      <c r="A65" s="6" t="s">
        <v>171</v>
      </c>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1:29" ht="12.75" x14ac:dyDescent="0.2">
      <c r="A66" s="47"/>
      <c r="B66" s="126"/>
      <c r="C66" s="126"/>
      <c r="D66" s="47" t="s">
        <v>172</v>
      </c>
      <c r="E66" s="126"/>
      <c r="F66" s="126"/>
      <c r="G66" s="126"/>
      <c r="H66" s="126"/>
      <c r="I66" s="126"/>
      <c r="J66" s="126"/>
      <c r="K66" s="126"/>
      <c r="L66" s="126"/>
      <c r="M66" s="126"/>
      <c r="N66" s="126"/>
      <c r="O66" s="126"/>
      <c r="P66" s="126"/>
      <c r="Q66" s="126"/>
      <c r="R66" s="126"/>
      <c r="S66" s="126"/>
      <c r="T66" s="83"/>
      <c r="U66" s="126"/>
      <c r="V66" s="126"/>
      <c r="W66" s="126"/>
      <c r="X66" s="126"/>
      <c r="Y66" s="126"/>
      <c r="Z66" s="126"/>
      <c r="AA66" s="126"/>
      <c r="AB66" s="126"/>
      <c r="AC66" s="126"/>
    </row>
    <row r="67" spans="1:29" x14ac:dyDescent="0.25">
      <c r="A67" s="29" t="s">
        <v>40</v>
      </c>
      <c r="B67" s="30"/>
      <c r="C67" s="31">
        <v>6.0906899999999995E-4</v>
      </c>
      <c r="D67" s="4" t="s">
        <v>173</v>
      </c>
    </row>
    <row r="68" spans="1:29" ht="12.75" x14ac:dyDescent="0.2">
      <c r="A68" s="35" t="s">
        <v>42</v>
      </c>
      <c r="C68" s="77">
        <f>'Death Rate Estimates'!T35</f>
        <v>2.4240030198551247E-6</v>
      </c>
      <c r="D68" s="4" t="s">
        <v>174</v>
      </c>
    </row>
    <row r="69" spans="1:29" ht="12.75" x14ac:dyDescent="0.2">
      <c r="A69" s="35" t="s">
        <v>44</v>
      </c>
      <c r="C69" s="36">
        <f>'Death Rate Estimates'!T55</f>
        <v>3.2598777751827987E-4</v>
      </c>
      <c r="D69" s="127" t="s">
        <v>174</v>
      </c>
    </row>
    <row r="70" spans="1:29" x14ac:dyDescent="0.25">
      <c r="A70" s="29" t="s">
        <v>48</v>
      </c>
      <c r="B70" s="30"/>
      <c r="C70" s="31">
        <v>1.1389550000000001E-3</v>
      </c>
      <c r="D70" s="4" t="s">
        <v>173</v>
      </c>
    </row>
    <row r="71" spans="1:29" ht="12.75" x14ac:dyDescent="0.2">
      <c r="A71" s="35" t="s">
        <v>52</v>
      </c>
      <c r="C71" s="36">
        <f>'Death Rate Estimates'!T75</f>
        <v>3.0514525106219316E-4</v>
      </c>
      <c r="D71" s="127" t="s">
        <v>174</v>
      </c>
    </row>
    <row r="72" spans="1:29" ht="12.75" x14ac:dyDescent="0.2">
      <c r="A72" s="35" t="s">
        <v>55</v>
      </c>
      <c r="C72" s="36">
        <f>'Death Rate Estimates'!T95</f>
        <v>1.4530011028709476E-4</v>
      </c>
      <c r="D72" s="127" t="s">
        <v>174</v>
      </c>
      <c r="F72" s="4"/>
    </row>
    <row r="73" spans="1:29" ht="12.75" x14ac:dyDescent="0.2">
      <c r="A73" s="35" t="s">
        <v>62</v>
      </c>
      <c r="C73" s="36">
        <f>'Death Rate Estimates'!T115</f>
        <v>2.1526567779922393E-5</v>
      </c>
      <c r="D73" s="127" t="s">
        <v>174</v>
      </c>
    </row>
    <row r="74" spans="1:29" ht="12.75" x14ac:dyDescent="0.2">
      <c r="A74" s="29" t="s">
        <v>70</v>
      </c>
      <c r="B74" s="60"/>
      <c r="C74" s="31"/>
      <c r="D74" s="128"/>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row>
    <row r="75" spans="1:29" ht="12.75" x14ac:dyDescent="0.2">
      <c r="A75" s="35" t="s">
        <v>88</v>
      </c>
      <c r="C75" s="130">
        <f>'GBD Estimates'!O47</f>
        <v>1.719E-4</v>
      </c>
      <c r="D75" s="131" t="s">
        <v>175</v>
      </c>
    </row>
    <row r="76" spans="1:29" ht="12.75" x14ac:dyDescent="0.2">
      <c r="A76" s="35" t="s">
        <v>91</v>
      </c>
      <c r="C76" s="130">
        <f>'GBD Estimates'!O48</f>
        <v>6.6379999999999998E-4</v>
      </c>
      <c r="D76" s="125" t="s">
        <v>176</v>
      </c>
    </row>
    <row r="77" spans="1:29" ht="12.75" x14ac:dyDescent="0.2">
      <c r="A77" s="35" t="s">
        <v>93</v>
      </c>
      <c r="C77" s="130">
        <f>'GBD Estimates'!O49</f>
        <v>4.8300000000000002E-5</v>
      </c>
      <c r="D77" s="125" t="s">
        <v>177</v>
      </c>
    </row>
    <row r="78" spans="1:29" ht="12.75" x14ac:dyDescent="0.2">
      <c r="A78" s="35" t="s">
        <v>95</v>
      </c>
      <c r="C78" s="130">
        <f>'GBD Estimates'!O50</f>
        <v>1.5890000000000001E-4</v>
      </c>
      <c r="D78" s="125" t="s">
        <v>178</v>
      </c>
    </row>
    <row r="79" spans="1:29" ht="12.75" x14ac:dyDescent="0.2">
      <c r="A79" s="35" t="s">
        <v>98</v>
      </c>
      <c r="C79" s="130">
        <f>'GBD Estimates'!O51</f>
        <v>0</v>
      </c>
      <c r="D79" s="125" t="s">
        <v>179</v>
      </c>
    </row>
    <row r="80" spans="1:29" x14ac:dyDescent="0.25">
      <c r="A80" s="29" t="s">
        <v>100</v>
      </c>
      <c r="B80" s="30"/>
      <c r="C80" s="31">
        <f>AVERAGE(C67:C78)</f>
        <v>3.2648251906066772E-4</v>
      </c>
      <c r="E80" s="4"/>
    </row>
    <row r="82" spans="1:29" ht="12.75" x14ac:dyDescent="0.2">
      <c r="A82" s="6" t="s">
        <v>180</v>
      </c>
      <c r="B82" s="9"/>
      <c r="C82" s="9"/>
      <c r="D82" s="9"/>
      <c r="E82" s="9"/>
      <c r="F82" s="9"/>
      <c r="G82" s="9"/>
      <c r="H82" s="9"/>
      <c r="I82" s="9"/>
      <c r="J82" s="42"/>
      <c r="K82" s="41"/>
      <c r="L82" s="42"/>
      <c r="M82" s="42"/>
      <c r="N82" s="42"/>
      <c r="O82" s="42"/>
      <c r="P82" s="42"/>
      <c r="Q82" s="42"/>
      <c r="R82" s="42"/>
      <c r="S82" s="42"/>
      <c r="T82" s="42"/>
      <c r="U82" s="42"/>
      <c r="V82" s="42"/>
      <c r="W82" s="42"/>
      <c r="X82" s="42"/>
      <c r="Y82" s="42"/>
      <c r="Z82" s="42"/>
      <c r="AA82" s="42"/>
      <c r="AB82" s="42"/>
      <c r="AC82" s="42"/>
    </row>
    <row r="83" spans="1:29" ht="25.5" x14ac:dyDescent="0.2">
      <c r="A83" s="47" t="s">
        <v>25</v>
      </c>
      <c r="B83" s="126"/>
      <c r="C83" s="26" t="s">
        <v>74</v>
      </c>
      <c r="D83" s="26" t="s">
        <v>75</v>
      </c>
      <c r="E83" s="26" t="s">
        <v>76</v>
      </c>
      <c r="F83" s="105"/>
      <c r="G83" s="26" t="s">
        <v>77</v>
      </c>
      <c r="H83" s="26" t="s">
        <v>78</v>
      </c>
      <c r="I83" s="26" t="s">
        <v>79</v>
      </c>
      <c r="J83" s="41"/>
      <c r="K83" s="40"/>
      <c r="L83" s="40"/>
      <c r="M83" s="40"/>
      <c r="N83" s="40"/>
      <c r="O83" s="40"/>
      <c r="P83" s="40"/>
      <c r="Q83" s="132"/>
      <c r="R83" s="41"/>
      <c r="S83" s="41"/>
      <c r="T83" s="41"/>
      <c r="U83" s="41"/>
      <c r="V83" s="41"/>
      <c r="W83" s="41"/>
      <c r="X83" s="41"/>
      <c r="Y83" s="41"/>
      <c r="Z83" s="42"/>
      <c r="AA83" s="42"/>
      <c r="AB83" s="42"/>
      <c r="AC83" s="42"/>
    </row>
    <row r="84" spans="1:29" x14ac:dyDescent="0.25">
      <c r="A84" s="29" t="s">
        <v>40</v>
      </c>
      <c r="B84" s="30"/>
      <c r="C84" s="133">
        <f t="shared" ref="C84:E84" si="20">C19*C49*$C67</f>
        <v>6.6673578369389452E-6</v>
      </c>
      <c r="D84" s="133">
        <f t="shared" si="20"/>
        <v>7.5645454731945282E-6</v>
      </c>
      <c r="E84" s="133">
        <f t="shared" si="20"/>
        <v>1.7932301130925412E-6</v>
      </c>
      <c r="F84" s="134"/>
      <c r="G84" s="135">
        <f t="shared" ref="G84:I84" si="21">(C19*G49*$C67)</f>
        <v>5.9981887109687968E-6</v>
      </c>
      <c r="H84" s="135">
        <f t="shared" si="21"/>
        <v>6.351023362201812E-6</v>
      </c>
      <c r="I84" s="135">
        <f t="shared" si="21"/>
        <v>1.4113385149339448E-6</v>
      </c>
    </row>
    <row r="85" spans="1:29" ht="12.75" x14ac:dyDescent="0.2">
      <c r="A85" s="35" t="s">
        <v>42</v>
      </c>
      <c r="C85" s="133">
        <f t="shared" ref="C85:E85" si="22">C20*C50*$C68</f>
        <v>2.6535081462354408E-8</v>
      </c>
      <c r="D85" s="133">
        <f t="shared" si="22"/>
        <v>3.0105753237953315E-8</v>
      </c>
      <c r="E85" s="133">
        <f t="shared" si="22"/>
        <v>7.1367861595836709E-9</v>
      </c>
      <c r="F85" s="135"/>
      <c r="G85" s="135">
        <f t="shared" ref="G85:I85" si="23">(C20*G50*$C68)</f>
        <v>2.3871888979818842E-8</v>
      </c>
      <c r="H85" s="135">
        <f t="shared" si="23"/>
        <v>2.5276117755979207E-8</v>
      </c>
      <c r="I85" s="135">
        <f t="shared" si="23"/>
        <v>5.6169150330056688E-9</v>
      </c>
    </row>
    <row r="86" spans="1:29" ht="12.75" x14ac:dyDescent="0.2">
      <c r="A86" s="35" t="s">
        <v>44</v>
      </c>
      <c r="C86" s="133">
        <f>(C21*C51*$C69)*C43</f>
        <v>3.6099760525914968E-6</v>
      </c>
      <c r="D86" s="133">
        <f>(D21*D51*$C69)*C43</f>
        <v>2.3209247515604531E-6</v>
      </c>
      <c r="E86" s="133">
        <f>(E21*E51*$C69)*C43</f>
        <v>8.2528795988170805E-7</v>
      </c>
      <c r="F86" s="135"/>
      <c r="G86" s="135">
        <f>((C21*G51*$C69)*C43)</f>
        <v>3.2476609378241024E-6</v>
      </c>
      <c r="H86" s="135">
        <f>((D21*H51*$C69)*C43)</f>
        <v>1.9485965642358717E-6</v>
      </c>
      <c r="I86" s="135">
        <f>((E21*I51*$C69)*C43)</f>
        <v>6.4953219064764094E-7</v>
      </c>
    </row>
    <row r="87" spans="1:29" x14ac:dyDescent="0.25">
      <c r="A87" s="29" t="s">
        <v>48</v>
      </c>
      <c r="B87" s="30"/>
      <c r="C87" s="133">
        <f t="shared" ref="C87:D87" si="24">C22*C52*$C70</f>
        <v>3.3033793219596283E-5</v>
      </c>
      <c r="D87" s="135">
        <f t="shared" si="24"/>
        <v>8.2639453758636652E-7</v>
      </c>
      <c r="E87" s="133"/>
      <c r="F87" s="135"/>
      <c r="G87" s="135">
        <f t="shared" ref="G87:H87" si="25">C22*G52*$C70</f>
        <v>4.5443313423783263E-5</v>
      </c>
      <c r="H87" s="135">
        <f t="shared" si="25"/>
        <v>3.9374940275449771E-7</v>
      </c>
      <c r="I87" s="135"/>
      <c r="R87" s="80"/>
    </row>
    <row r="88" spans="1:29" x14ac:dyDescent="0.25">
      <c r="A88" s="35" t="s">
        <v>52</v>
      </c>
      <c r="C88" s="133">
        <f t="shared" ref="C88:E88" si="26">C23*C53*$C71</f>
        <v>4.7112379522905437E-6</v>
      </c>
      <c r="D88" s="133">
        <f t="shared" si="26"/>
        <v>3.0074658299572989E-6</v>
      </c>
      <c r="E88" s="133">
        <f t="shared" si="26"/>
        <v>2.2915976497241781E-6</v>
      </c>
      <c r="F88" s="135"/>
      <c r="G88" s="135">
        <f t="shared" ref="G88:I88" si="27">C23*G53*$C71</f>
        <v>4.238394727151895E-6</v>
      </c>
      <c r="H88" s="135">
        <f t="shared" si="27"/>
        <v>2.5250011140479378E-6</v>
      </c>
      <c r="I88" s="135">
        <f t="shared" si="27"/>
        <v>1.8035722243199555E-6</v>
      </c>
      <c r="K88" s="80"/>
      <c r="L88" s="80"/>
      <c r="M88" s="80"/>
      <c r="N88" s="80"/>
      <c r="O88" s="80"/>
      <c r="T88" s="80"/>
    </row>
    <row r="89" spans="1:29" x14ac:dyDescent="0.25">
      <c r="A89" s="35" t="s">
        <v>55</v>
      </c>
      <c r="C89" s="133">
        <f t="shared" ref="C89:E89" si="28">C24*C54*$C72</f>
        <v>2.243336219959859E-6</v>
      </c>
      <c r="D89" s="133">
        <f t="shared" si="28"/>
        <v>1.4320560954376459E-6</v>
      </c>
      <c r="E89" s="133">
        <f t="shared" si="28"/>
        <v>1.0911832646240529E-6</v>
      </c>
      <c r="F89" s="135"/>
      <c r="G89" s="135">
        <f t="shared" ref="G89:I89" si="29">C24*G54*$C72</f>
        <v>2.0181838621171723E-6</v>
      </c>
      <c r="H89" s="135">
        <f t="shared" si="29"/>
        <v>1.2023223008357624E-6</v>
      </c>
      <c r="I89" s="135">
        <f t="shared" si="29"/>
        <v>8.5880164345411603E-7</v>
      </c>
      <c r="K89" s="80"/>
      <c r="L89" s="80"/>
      <c r="M89" s="80"/>
      <c r="N89" s="80"/>
      <c r="O89" s="80"/>
      <c r="T89" s="80"/>
    </row>
    <row r="90" spans="1:29" x14ac:dyDescent="0.25">
      <c r="A90" s="35" t="s">
        <v>62</v>
      </c>
      <c r="C90" s="133">
        <f t="shared" ref="C90:E90" si="30">C25*C55*$C73</f>
        <v>2.121419771459012E-7</v>
      </c>
      <c r="D90" s="133">
        <f t="shared" si="30"/>
        <v>3.0308946223862088E-7</v>
      </c>
      <c r="E90" s="133">
        <f t="shared" si="30"/>
        <v>2.020768468433584E-7</v>
      </c>
      <c r="F90" s="135"/>
      <c r="G90" s="135">
        <f t="shared" ref="G90:I90" si="31">C25*G55*$C73</f>
        <v>1.9085035535206078E-7</v>
      </c>
      <c r="H90" s="135">
        <f t="shared" si="31"/>
        <v>2.5446714046941441E-7</v>
      </c>
      <c r="I90" s="135">
        <f t="shared" si="31"/>
        <v>1.5904196279338399E-7</v>
      </c>
      <c r="J90" s="80"/>
    </row>
    <row r="91" spans="1:29" x14ac:dyDescent="0.25">
      <c r="A91" s="29" t="s">
        <v>70</v>
      </c>
      <c r="B91" s="30"/>
      <c r="C91" s="136"/>
      <c r="D91" s="133"/>
      <c r="E91" s="133"/>
      <c r="F91" s="133"/>
      <c r="G91" s="135"/>
      <c r="H91" s="135"/>
      <c r="I91" s="135"/>
      <c r="R91" s="80"/>
    </row>
    <row r="92" spans="1:29" ht="12.75" x14ac:dyDescent="0.2">
      <c r="A92" s="35" t="s">
        <v>88</v>
      </c>
      <c r="C92" s="133">
        <f t="shared" ref="C92:E92" si="32">C27*C57*$C75</f>
        <v>1.3195849248288628E-6</v>
      </c>
      <c r="D92" s="133">
        <f t="shared" si="32"/>
        <v>1.3971993516755946E-6</v>
      </c>
      <c r="E92" s="133">
        <f t="shared" si="32"/>
        <v>3.1047632459382469E-7</v>
      </c>
      <c r="F92" s="133"/>
      <c r="G92" s="135">
        <f t="shared" ref="G92:I92" si="33">C27*G57*$C75</f>
        <v>1.1869282392640573E-6</v>
      </c>
      <c r="H92" s="135">
        <f t="shared" si="33"/>
        <v>1.2567401575918052E-6</v>
      </c>
      <c r="I92" s="135">
        <f t="shared" si="33"/>
        <v>2.7926441894682657E-7</v>
      </c>
    </row>
    <row r="93" spans="1:29" x14ac:dyDescent="0.25">
      <c r="A93" s="35" t="s">
        <v>91</v>
      </c>
      <c r="C93" s="135">
        <f t="shared" ref="C93:E93" si="34">C28*C58*$C76</f>
        <v>1.0443232554163174E-5</v>
      </c>
      <c r="D93" s="135">
        <f t="shared" si="34"/>
        <v>1.5644791406364827E-6</v>
      </c>
      <c r="E93" s="135">
        <f t="shared" si="34"/>
        <v>6.4183759615855435E-7</v>
      </c>
      <c r="F93" s="135"/>
      <c r="G93" s="135">
        <f t="shared" ref="G93:I93" si="35">(C28*G58*$C76)</f>
        <v>9.3933837788769349E-6</v>
      </c>
      <c r="H93" s="135">
        <f t="shared" si="35"/>
        <v>1.4072034598317576E-6</v>
      </c>
      <c r="I93" s="135">
        <f t="shared" si="35"/>
        <v>5.7731423993097523E-7</v>
      </c>
      <c r="J93" s="80"/>
      <c r="K93" s="80"/>
      <c r="L93" s="80"/>
      <c r="M93" s="80"/>
      <c r="N93" s="80"/>
      <c r="O93" s="80"/>
      <c r="P93" s="80"/>
    </row>
    <row r="94" spans="1:29" x14ac:dyDescent="0.25">
      <c r="A94" s="35" t="s">
        <v>93</v>
      </c>
      <c r="C94" s="135">
        <f t="shared" ref="C94:E94" si="36">C28*C59*$C77</f>
        <v>7.5987968117818821E-7</v>
      </c>
      <c r="D94" s="135">
        <f t="shared" si="36"/>
        <v>1.1383600857598994E-7</v>
      </c>
      <c r="E94" s="135">
        <f t="shared" si="36"/>
        <v>4.6701952236303374E-8</v>
      </c>
      <c r="F94" s="135"/>
      <c r="G94" s="135">
        <f t="shared" ref="G94:I94" si="37">(C28*G59*$C77)</f>
        <v>6.8348966031900571E-7</v>
      </c>
      <c r="H94" s="135">
        <f t="shared" si="37"/>
        <v>1.0239217702602275E-7</v>
      </c>
      <c r="I94" s="135">
        <f t="shared" si="37"/>
        <v>4.2007046985034806E-8</v>
      </c>
      <c r="J94" s="80"/>
      <c r="K94" s="80"/>
      <c r="L94" s="80"/>
      <c r="M94" s="80"/>
      <c r="N94" s="80"/>
      <c r="O94" s="80"/>
      <c r="P94" s="80"/>
    </row>
    <row r="95" spans="1:29" x14ac:dyDescent="0.25">
      <c r="A95" s="35" t="s">
        <v>95</v>
      </c>
      <c r="C95" s="135">
        <f>C30*C60*$C78</f>
        <v>4.176607790741416E-6</v>
      </c>
      <c r="D95" s="135"/>
      <c r="E95" s="135"/>
      <c r="F95" s="135"/>
      <c r="G95" s="135">
        <f>C30*G60*$C78</f>
        <v>3.75673716627535E-6</v>
      </c>
      <c r="H95" s="135"/>
      <c r="I95" s="135"/>
      <c r="J95" s="80"/>
      <c r="K95" s="80"/>
      <c r="L95" s="80"/>
      <c r="M95" s="80"/>
      <c r="N95" s="80"/>
      <c r="O95" s="80"/>
      <c r="P95" s="80"/>
    </row>
    <row r="96" spans="1:29" ht="12.75" x14ac:dyDescent="0.2">
      <c r="A96" s="35" t="s">
        <v>98</v>
      </c>
    </row>
    <row r="98" spans="1:29" ht="12.75" x14ac:dyDescent="0.2">
      <c r="A98" s="6" t="s">
        <v>197</v>
      </c>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row>
    <row r="99" spans="1:29" ht="12.75" x14ac:dyDescent="0.2">
      <c r="A99" s="47" t="s">
        <v>25</v>
      </c>
      <c r="B99" s="83"/>
      <c r="C99" s="95" t="s">
        <v>201</v>
      </c>
      <c r="D99" s="47" t="s">
        <v>202</v>
      </c>
      <c r="E99" s="47" t="s">
        <v>203</v>
      </c>
      <c r="F99" s="83"/>
      <c r="G99" s="47" t="s">
        <v>204</v>
      </c>
      <c r="H99" s="47" t="s">
        <v>205</v>
      </c>
      <c r="I99" s="47" t="s">
        <v>206</v>
      </c>
      <c r="J99" s="83"/>
      <c r="K99" s="83"/>
      <c r="L99" s="83"/>
      <c r="M99" s="83"/>
      <c r="N99" s="83"/>
      <c r="O99" s="83"/>
      <c r="P99" s="83"/>
      <c r="Q99" s="83"/>
      <c r="R99" s="83"/>
      <c r="S99" s="83"/>
      <c r="T99" s="83"/>
      <c r="U99" s="83"/>
      <c r="V99" s="83"/>
      <c r="W99" s="83"/>
      <c r="X99" s="83"/>
      <c r="Y99" s="83"/>
      <c r="Z99" s="83"/>
      <c r="AA99" s="83"/>
      <c r="AB99" s="83"/>
      <c r="AC99" s="83"/>
    </row>
    <row r="100" spans="1:29" ht="12.75" x14ac:dyDescent="0.2">
      <c r="A100" s="29" t="s">
        <v>40</v>
      </c>
      <c r="C100" s="139">
        <f>(C19*C49*Morbidity!C3)</f>
        <v>1.9934126709889718E-6</v>
      </c>
      <c r="D100" s="139">
        <f>(D19*D49*Morbidity!C3)</f>
        <v>2.2616546412126112E-6</v>
      </c>
      <c r="E100" s="139">
        <f>(E19*E49*Morbidity!C3)</f>
        <v>5.3614155964948435E-7</v>
      </c>
      <c r="F100" s="139"/>
      <c r="G100" s="139">
        <f>(C19*C49*Morbidity!K3)</f>
        <v>5.7041412316097674E-4</v>
      </c>
      <c r="H100" s="139">
        <f>(D19*D49*Morbidity!K3)</f>
        <v>6.4717144013146598E-4</v>
      </c>
      <c r="I100" s="139">
        <f>(E19*E49*Morbidity!K3)</f>
        <v>1.5341666183244155E-4</v>
      </c>
    </row>
    <row r="101" spans="1:29" ht="12.75" x14ac:dyDescent="0.2">
      <c r="A101" s="35" t="s">
        <v>42</v>
      </c>
      <c r="C101" s="139">
        <f>(C20*C50*Morbidity!C4)</f>
        <v>9.5237178679868494E-11</v>
      </c>
      <c r="D101" s="139">
        <f>(D20*D50*Morbidity!C4)</f>
        <v>1.0805269260178066E-10</v>
      </c>
      <c r="E101" s="139">
        <f>(E20*E50*Morbidity!C4)</f>
        <v>2.5614670889349333E-11</v>
      </c>
      <c r="G101">
        <f>(C20*C50*Morbidity!K4)</f>
        <v>2.2600264781684521E-6</v>
      </c>
      <c r="H101">
        <f>(D20*D50*Morbidity!K4)</f>
        <v>2.5641451133100482E-6</v>
      </c>
      <c r="I101" s="4">
        <f>(E20*E50*Morbidity!K4)</f>
        <v>6.0784911147034076E-7</v>
      </c>
    </row>
    <row r="102" spans="1:29" ht="12.75" x14ac:dyDescent="0.2">
      <c r="A102" s="35" t="s">
        <v>44</v>
      </c>
      <c r="C102" s="139">
        <f>((C21*C51*Morbidity!C5)*C43)</f>
        <v>4.8725429991042811E-8</v>
      </c>
      <c r="D102" s="139">
        <f>((D21*D51*Morbidity!C5)*C43)</f>
        <v>3.1326539248218745E-8</v>
      </c>
      <c r="E102" s="139">
        <f>((E21*E51*Morbidity!C5)*C43)</f>
        <v>1.1139273536953057E-8</v>
      </c>
      <c r="F102" s="139"/>
      <c r="G102" s="139">
        <f>((C21*C51*Morbidity!K5)*C43)</f>
        <v>3.1114107283738811E-4</v>
      </c>
      <c r="H102" s="139">
        <f>((D21*D51*Morbidity!K5)*C43)</f>
        <v>2.0003872786274253E-4</v>
      </c>
      <c r="I102" s="139">
        <f>((E21*E51*Morbidity!K5)*C43)</f>
        <v>7.1130937573128338E-5</v>
      </c>
    </row>
    <row r="103" spans="1:29" ht="12.75" x14ac:dyDescent="0.2">
      <c r="A103" s="29" t="s">
        <v>48</v>
      </c>
      <c r="C103" s="139">
        <f>C22*C52*Morbidity!C6</f>
        <v>8.8751010577208588E-7</v>
      </c>
      <c r="D103" s="139">
        <f>D22*D52*Morbidity!C6</f>
        <v>2.2202521478146909E-8</v>
      </c>
      <c r="E103" s="139"/>
      <c r="F103" s="139"/>
      <c r="G103" s="139">
        <f>C22*C52*Morbidity!K6</f>
        <v>2.8060811947756199E-3</v>
      </c>
      <c r="H103" s="139">
        <f>D22*D52*Morbidity!K6</f>
        <v>7.0198725165197294E-5</v>
      </c>
      <c r="I103" s="139"/>
    </row>
    <row r="104" spans="1:29" ht="12.75" x14ac:dyDescent="0.2">
      <c r="A104" s="35" t="s">
        <v>52</v>
      </c>
      <c r="C104" s="139">
        <f>(C23*C53*Morbidity!C7)</f>
        <v>1.338589832356064E-6</v>
      </c>
      <c r="D104" s="139">
        <f>(D23*D53*Morbidity!C7)</f>
        <v>8.5450219706730308E-7</v>
      </c>
      <c r="E104" s="139">
        <f>(E23*E53*Morbidity!C7)</f>
        <v>6.5110472976225999E-7</v>
      </c>
      <c r="F104" s="139"/>
      <c r="G104" s="139">
        <f>(C23*C53*Morbidity!K7)</f>
        <v>4.0409810796253402E-4</v>
      </c>
      <c r="H104" s="139">
        <f>(D23*D53*Morbidity!K7)</f>
        <v>2.5796006568864723E-4</v>
      </c>
      <c r="I104" s="139">
        <f>(E23*E53*Morbidity!K7)</f>
        <v>1.9655773786902571E-4</v>
      </c>
    </row>
    <row r="105" spans="1:29" ht="12.75" x14ac:dyDescent="0.2">
      <c r="A105" s="35" t="s">
        <v>55</v>
      </c>
      <c r="C105" s="139">
        <f>(C23*C54*Morbidity!C8)</f>
        <v>8.3526770392690944E-7</v>
      </c>
      <c r="D105" s="139">
        <f>(D23*D54*Morbidity!C8)</f>
        <v>5.3320148628997794E-7</v>
      </c>
      <c r="E105" s="139">
        <f>(E23*E54*Morbidity!C8)</f>
        <v>4.0628334348487036E-7</v>
      </c>
      <c r="F105" s="139"/>
      <c r="G105" s="139">
        <f>(C23*C54*Morbidity!K8)</f>
        <v>1.9265057918131374E-4</v>
      </c>
      <c r="H105" s="139">
        <f>(D23*D54*Morbidity!K8)</f>
        <v>1.2298042252941016E-4</v>
      </c>
      <c r="I105" s="139">
        <f>(E23*E54*Morbidity!K8)</f>
        <v>9.3707348034768542E-5</v>
      </c>
    </row>
    <row r="106" spans="1:29" ht="12.75" x14ac:dyDescent="0.2">
      <c r="A106" s="35" t="s">
        <v>62</v>
      </c>
      <c r="C106" s="139">
        <f>C25*C55*Morbidity!C9</f>
        <v>3.1535650913195941E-8</v>
      </c>
      <c r="D106" s="139">
        <f>D25*D55*Morbidity!C9</f>
        <v>4.5055314394716913E-8</v>
      </c>
      <c r="E106" s="139">
        <f>E25*E55*Morbidity!C9</f>
        <v>3.0039433899066199E-8</v>
      </c>
      <c r="F106" s="139"/>
      <c r="G106" s="139">
        <f>C25*C55*Morbidity!K9</f>
        <v>1.810530382010151E-5</v>
      </c>
      <c r="H106" s="139">
        <f>D25*D55*Morbidity!K9</f>
        <v>2.5867236990665704E-5</v>
      </c>
      <c r="I106" s="139">
        <f>E25*E55*Morbidity!K9</f>
        <v>1.7246293054914209E-5</v>
      </c>
    </row>
    <row r="107" spans="1:29" ht="12.75" x14ac:dyDescent="0.2">
      <c r="A107" s="29" t="s">
        <v>70</v>
      </c>
      <c r="C107" s="139"/>
      <c r="D107" s="139"/>
      <c r="E107" s="139"/>
      <c r="F107" s="139"/>
      <c r="G107" s="139"/>
      <c r="H107" s="139"/>
      <c r="I107" s="139"/>
    </row>
    <row r="108" spans="1:29" ht="12.75" x14ac:dyDescent="0.2">
      <c r="A108" s="35" t="s">
        <v>88</v>
      </c>
      <c r="C108" s="139">
        <f>C27*C57*Morbidity!C11</f>
        <v>6.9656274624183256E-6</v>
      </c>
      <c r="D108" s="139">
        <f>D27*D57*Morbidity!C11</f>
        <v>7.3753268860409225E-6</v>
      </c>
      <c r="E108" s="139">
        <f>E27*E57*Morbidity!C11</f>
        <v>1.6388959682166175E-6</v>
      </c>
      <c r="F108" s="139"/>
      <c r="G108" s="139">
        <f>C27*C57*Morbidity!K11</f>
        <v>1.1987091431168303E-4</v>
      </c>
      <c r="H108" s="139">
        <f>D27*D57*Morbidity!K11</f>
        <v>1.2692139824404652E-4</v>
      </c>
      <c r="I108" s="139">
        <f>E27*E57*Morbidity!K11</f>
        <v>2.8203626913985349E-5</v>
      </c>
    </row>
    <row r="109" spans="1:29" ht="12.75" x14ac:dyDescent="0.2">
      <c r="A109" s="35" t="s">
        <v>91</v>
      </c>
      <c r="C109" s="139">
        <f>(C28*C58*Morbidity!C12)</f>
        <v>5.3097182691022465E-6</v>
      </c>
      <c r="D109" s="139">
        <f>(D28*D58*Morbidity!C12)</f>
        <v>7.9543794812415327E-7</v>
      </c>
      <c r="E109" s="139">
        <f>(E28*E58*Morbidity!C12)</f>
        <v>3.2633351717913851E-7</v>
      </c>
      <c r="F109" s="139"/>
      <c r="G109" s="139">
        <f>(C28*C58*Morbidity!K12)</f>
        <v>8.9819943280108579E-4</v>
      </c>
      <c r="H109" s="139">
        <f>(D28*D58*Morbidity!K12)</f>
        <v>1.3455740542602713E-4</v>
      </c>
      <c r="I109" s="139">
        <f>(E28*E58*Morbidity!K12)</f>
        <v>5.5203038123498085E-5</v>
      </c>
    </row>
    <row r="110" spans="1:29" ht="12.75" x14ac:dyDescent="0.2">
      <c r="A110" s="35" t="s">
        <v>93</v>
      </c>
      <c r="C110" s="139">
        <f>(C28*C59*Morbidity!C13)</f>
        <v>1.253880136436886E-6</v>
      </c>
      <c r="D110" s="139">
        <f>(D28*D59*Morbidity!C13)</f>
        <v>1.8784119841628151E-7</v>
      </c>
      <c r="E110" s="139">
        <f>(E28*E59*Morbidity!C13)</f>
        <v>7.706305576052544E-8</v>
      </c>
      <c r="F110" s="139"/>
      <c r="G110" s="139">
        <f>(C28*C59*Morbidity!K13)</f>
        <v>6.6158114723492586E-5</v>
      </c>
      <c r="H110" s="139">
        <f>(D28*D59*Morbidity!K13)</f>
        <v>9.9110107844412845E-6</v>
      </c>
      <c r="I110" s="139">
        <f>(E28*E59*Morbidity!K13)</f>
        <v>4.0660557064374332E-6</v>
      </c>
    </row>
    <row r="111" spans="1:29" ht="12.75" x14ac:dyDescent="0.2">
      <c r="A111" s="35" t="s">
        <v>95</v>
      </c>
      <c r="C111" s="139">
        <f>C30*C60*Morbidity!C14</f>
        <v>4.5077925494786204E-6</v>
      </c>
      <c r="D111" s="139"/>
      <c r="E111" s="139"/>
      <c r="F111" s="139"/>
      <c r="G111" s="139">
        <f>C30*C60*Morbidity!K14</f>
        <v>3.5842694227788312E-4</v>
      </c>
      <c r="H111" s="139"/>
      <c r="I111" s="139"/>
    </row>
    <row r="112" spans="1:29" ht="12.75" x14ac:dyDescent="0.2">
      <c r="A112" s="35" t="s">
        <v>98</v>
      </c>
    </row>
    <row r="113" spans="1:29" ht="12.75" x14ac:dyDescent="0.2">
      <c r="A113" s="4"/>
    </row>
    <row r="114" spans="1:29" ht="12.75" x14ac:dyDescent="0.2">
      <c r="A114" s="6" t="s">
        <v>216</v>
      </c>
      <c r="B114" s="9"/>
      <c r="C114" s="9"/>
      <c r="D114" s="6" t="s">
        <v>218</v>
      </c>
      <c r="E114" s="9"/>
      <c r="F114" s="6" t="s">
        <v>218</v>
      </c>
      <c r="G114" s="9"/>
      <c r="H114" s="6"/>
      <c r="I114" s="9"/>
      <c r="J114" s="6"/>
      <c r="K114" s="6" t="s">
        <v>219</v>
      </c>
      <c r="L114" s="6"/>
      <c r="M114" s="6"/>
      <c r="N114" s="6"/>
      <c r="O114" s="6"/>
      <c r="P114" s="6" t="s">
        <v>220</v>
      </c>
      <c r="Q114" s="9"/>
      <c r="R114" s="9"/>
      <c r="S114" s="9"/>
      <c r="T114" s="9"/>
      <c r="U114" s="9"/>
      <c r="V114" s="9"/>
      <c r="W114" s="9"/>
      <c r="X114" s="9"/>
      <c r="Y114" s="9"/>
      <c r="Z114" s="9"/>
      <c r="AA114" s="9"/>
      <c r="AB114" s="9"/>
      <c r="AC114" s="9"/>
    </row>
    <row r="115" spans="1:29" ht="12.75" x14ac:dyDescent="0.2">
      <c r="A115" s="47" t="s">
        <v>221</v>
      </c>
      <c r="B115" s="126"/>
      <c r="C115" s="47"/>
      <c r="D115" s="47" t="s">
        <v>50</v>
      </c>
      <c r="E115" s="47"/>
      <c r="F115" s="47" t="s">
        <v>53</v>
      </c>
      <c r="G115" s="126"/>
      <c r="H115" s="47"/>
      <c r="I115" s="47"/>
      <c r="J115" s="47"/>
      <c r="K115" s="47" t="s">
        <v>50</v>
      </c>
      <c r="L115" s="47"/>
      <c r="M115" s="47"/>
      <c r="N115" s="47"/>
      <c r="O115" s="47"/>
      <c r="P115" s="47" t="s">
        <v>50</v>
      </c>
      <c r="Q115" s="126"/>
      <c r="R115" s="47"/>
      <c r="S115" s="47"/>
      <c r="T115" s="47"/>
      <c r="U115" s="126"/>
      <c r="V115" s="126"/>
      <c r="W115" s="126"/>
      <c r="X115" s="47"/>
      <c r="Y115" s="126"/>
      <c r="Z115" s="126"/>
      <c r="AA115" s="126"/>
      <c r="AB115" s="126"/>
      <c r="AC115" s="126"/>
    </row>
    <row r="116" spans="1:29" ht="12.75" x14ac:dyDescent="0.2">
      <c r="A116" s="4" t="s">
        <v>222</v>
      </c>
      <c r="D116" s="139">
        <f>SUM(C84:E94)</f>
        <v>8.8796700397570638E-5</v>
      </c>
      <c r="F116" s="139">
        <f>SUM(G84:I94)</f>
        <v>9.3677526538432841E-5</v>
      </c>
      <c r="K116" s="139">
        <f>SUM(C100:E110)</f>
        <v>3.4448045780209145E-5</v>
      </c>
      <c r="P116" s="139">
        <f>SUM(G100:I110)</f>
        <v>7.607288996207987E-3</v>
      </c>
    </row>
    <row r="117" spans="1:29" ht="12.75" x14ac:dyDescent="0.2">
      <c r="A117" s="4" t="s">
        <v>223</v>
      </c>
      <c r="D117" s="139">
        <f>SUM(C84:E90)</f>
        <v>7.2199472863523665E-5</v>
      </c>
      <c r="F117" s="139">
        <f>SUM(G84:I90)</f>
        <v>7.8748803359660437E-5</v>
      </c>
      <c r="K117" s="139">
        <f>SUM(C100:E106)</f>
        <v>1.0517921338514048E-5</v>
      </c>
      <c r="P117" s="139">
        <f>SUM(G100:I106)</f>
        <v>6.1641979991732898E-3</v>
      </c>
    </row>
    <row r="118" spans="1:29" ht="12.75" x14ac:dyDescent="0.2">
      <c r="A118" s="4" t="s">
        <v>224</v>
      </c>
      <c r="D118" s="139">
        <f>SUM(C84:E91,C93:E94)</f>
        <v>8.5769439796472364E-5</v>
      </c>
      <c r="F118" s="139">
        <f>SUM(G84:I91,G93:I94)</f>
        <v>9.0954593722630152E-5</v>
      </c>
      <c r="K118" s="139">
        <f>SUM(C100:E107,C109:E110,C112:E112)</f>
        <v>1.8468195463533282E-5</v>
      </c>
      <c r="P118" s="139">
        <f>SUM(G100:I107,G109:I110,G112:I112)</f>
        <v>7.3322930567382722E-3</v>
      </c>
    </row>
    <row r="119" spans="1:29" ht="12.75" x14ac:dyDescent="0.2">
      <c r="A119" s="4" t="s">
        <v>225</v>
      </c>
      <c r="D119" s="139">
        <f>SUM(C84:E92)</f>
        <v>7.5226733464621939E-5</v>
      </c>
      <c r="F119" s="139">
        <f>SUM(G84:I92)</f>
        <v>8.1471736175463125E-5</v>
      </c>
      <c r="K119" s="139">
        <f>SUM(C100:E108,C112:E112)</f>
        <v>2.6497771655189915E-5</v>
      </c>
      <c r="P119" s="139">
        <f>SUM(G100:I108,G112:I112)</f>
        <v>6.4391939386430046E-3</v>
      </c>
    </row>
    <row r="120" spans="1:29" ht="12.75" x14ac:dyDescent="0.2">
      <c r="A120" s="4" t="s">
        <v>226</v>
      </c>
      <c r="D120" s="107">
        <f>1/D116</f>
        <v>11261.679719209011</v>
      </c>
      <c r="F120" s="152">
        <f>1/F116</f>
        <v>10674.9189154747</v>
      </c>
      <c r="H120" s="4"/>
      <c r="I120" s="4" t="s">
        <v>227</v>
      </c>
      <c r="K120" s="107">
        <f>1/K116</f>
        <v>29029.222916747083</v>
      </c>
      <c r="P120" s="107">
        <f>1/P116</f>
        <v>131.45287375022443</v>
      </c>
    </row>
    <row r="121" spans="1:29" ht="12.75" x14ac:dyDescent="0.2">
      <c r="A121" s="4" t="s">
        <v>228</v>
      </c>
      <c r="D121" s="107">
        <f>D116*'New Implementation Costs'!I10</f>
        <v>39.958515178906787</v>
      </c>
      <c r="E121" s="107"/>
      <c r="F121" s="107">
        <f>F116*'New Implementation Costs'!I10</f>
        <v>42.15488694229478</v>
      </c>
      <c r="H121" s="4"/>
      <c r="I121" s="4" t="s">
        <v>229</v>
      </c>
      <c r="K121" s="107">
        <f>K116*'New Implementation Costs'!I10</f>
        <v>15.501620601094116</v>
      </c>
      <c r="P121" s="107">
        <f>P116*'New Implementation Costs'!I10</f>
        <v>3423.2800482935941</v>
      </c>
    </row>
    <row r="122" spans="1:29" ht="12.75" x14ac:dyDescent="0.2">
      <c r="A122" s="4"/>
      <c r="F122" s="37"/>
    </row>
    <row r="123" spans="1:29" ht="12.75" x14ac:dyDescent="0.2">
      <c r="Q123" s="42"/>
      <c r="R123" s="42"/>
      <c r="S123" s="42"/>
      <c r="T123" s="42"/>
      <c r="U123" s="42"/>
      <c r="V123" s="42"/>
      <c r="W123" s="42"/>
      <c r="X123" s="42"/>
      <c r="Y123" s="42"/>
      <c r="Z123" s="42"/>
      <c r="AA123" s="42"/>
      <c r="AB123" s="42"/>
      <c r="AC123" s="42"/>
    </row>
    <row r="129" spans="1:4" ht="12.75" x14ac:dyDescent="0.2">
      <c r="A129" s="122"/>
      <c r="D129" s="153"/>
    </row>
    <row r="130" spans="1:4" ht="12.75" x14ac:dyDescent="0.2">
      <c r="A130" s="122"/>
      <c r="D130" s="55"/>
    </row>
    <row r="133" spans="1:4" ht="12.75" x14ac:dyDescent="0.2">
      <c r="D133" s="4"/>
    </row>
    <row r="134" spans="1:4" ht="12.75" x14ac:dyDescent="0.2">
      <c r="D134" s="4"/>
    </row>
  </sheetData>
  <mergeCells count="2">
    <mergeCell ref="C17:E17"/>
    <mergeCell ref="C35:E35"/>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00"/>
  <sheetViews>
    <sheetView workbookViewId="0">
      <pane xSplit="1" topLeftCell="B1" activePane="topRight" state="frozen"/>
      <selection pane="topRight" activeCell="C2" sqref="C2"/>
    </sheetView>
  </sheetViews>
  <sheetFormatPr defaultColWidth="14.42578125" defaultRowHeight="15.75" customHeight="1" x14ac:dyDescent="0.2"/>
  <cols>
    <col min="1" max="1" width="32" customWidth="1"/>
    <col min="2" max="2" width="5.28515625" customWidth="1"/>
    <col min="3" max="3" width="11.5703125" customWidth="1"/>
    <col min="4" max="4" width="11.85546875" customWidth="1"/>
    <col min="8" max="8" width="13.85546875" customWidth="1"/>
  </cols>
  <sheetData>
    <row r="1" spans="1:29" ht="12.75" x14ac:dyDescent="0.2">
      <c r="A1" s="1"/>
    </row>
    <row r="2" spans="1:29" ht="12.75" x14ac:dyDescent="0.2">
      <c r="A2" s="3" t="s">
        <v>2</v>
      </c>
      <c r="B2" s="7">
        <f>'New Implementation Costs'!I21</f>
        <v>0.51692916666666666</v>
      </c>
      <c r="C2" s="8"/>
      <c r="D2" s="8"/>
      <c r="E2" s="8"/>
      <c r="F2" s="8"/>
      <c r="G2" s="8"/>
      <c r="H2" s="8"/>
      <c r="I2" s="8"/>
      <c r="J2" s="10">
        <f>'New Implementation Costs'!I19</f>
        <v>0.40450833333333336</v>
      </c>
      <c r="K2" s="10">
        <f>'New Implementation Costs'!I20</f>
        <v>0.6333333333333333</v>
      </c>
      <c r="L2" s="10">
        <f>'New Implementation Costs'!I18</f>
        <v>0.62934999999999997</v>
      </c>
      <c r="M2" s="11">
        <f>'New Implementation Costs'!I19</f>
        <v>0.40450833333333336</v>
      </c>
    </row>
    <row r="3" spans="1:29" ht="51" x14ac:dyDescent="0.2">
      <c r="A3" s="12" t="s">
        <v>16</v>
      </c>
      <c r="B3" s="9"/>
      <c r="C3" s="6" t="s">
        <v>18</v>
      </c>
      <c r="D3" s="6" t="s">
        <v>19</v>
      </c>
      <c r="E3" s="6" t="s">
        <v>20</v>
      </c>
      <c r="F3" s="6" t="s">
        <v>21</v>
      </c>
      <c r="G3" s="12" t="s">
        <v>22</v>
      </c>
      <c r="I3" s="12" t="s">
        <v>23</v>
      </c>
      <c r="J3" s="6" t="s">
        <v>18</v>
      </c>
      <c r="K3" s="6" t="s">
        <v>19</v>
      </c>
      <c r="L3" s="6" t="s">
        <v>20</v>
      </c>
      <c r="M3" s="6" t="s">
        <v>21</v>
      </c>
      <c r="N3" s="12" t="s">
        <v>22</v>
      </c>
      <c r="O3" s="9"/>
      <c r="P3" s="9"/>
      <c r="Q3" s="9"/>
      <c r="R3" s="9"/>
      <c r="S3" s="9"/>
      <c r="T3" s="9"/>
      <c r="U3" s="9"/>
      <c r="V3" s="9"/>
      <c r="W3" s="9"/>
      <c r="X3" s="9"/>
      <c r="Y3" s="9"/>
      <c r="Z3" s="9"/>
      <c r="AA3" s="9"/>
      <c r="AB3" s="9"/>
      <c r="AC3" s="9"/>
    </row>
    <row r="4" spans="1:29" ht="12.75" x14ac:dyDescent="0.2">
      <c r="A4" s="43" t="s">
        <v>24</v>
      </c>
      <c r="B4" s="46"/>
      <c r="C4" s="48">
        <f>B2/C16</f>
        <v>9306.773141245947</v>
      </c>
      <c r="D4" s="48">
        <f>B2/D16</f>
        <v>13419.65213743709</v>
      </c>
      <c r="E4" s="48">
        <f>B2/E16</f>
        <v>4448.0336832264211</v>
      </c>
      <c r="F4" s="48">
        <f>B2/F16</f>
        <v>4690.9929864997539</v>
      </c>
      <c r="G4" s="48">
        <f>B2/G16</f>
        <v>4566.2838211971193</v>
      </c>
      <c r="I4" s="46"/>
      <c r="J4" s="48">
        <f t="shared" ref="J4:M4" si="0">J2/C16</f>
        <v>7282.7527151402028</v>
      </c>
      <c r="K4" s="48">
        <f t="shared" si="0"/>
        <v>16441.542803982149</v>
      </c>
      <c r="L4" s="48">
        <f t="shared" si="0"/>
        <v>5415.3841165315316</v>
      </c>
      <c r="M4" s="48">
        <f t="shared" si="0"/>
        <v>3670.8041971850525</v>
      </c>
      <c r="N4" s="48">
        <f t="shared" ref="N4:N7" si="1">AVERAGE(L4,M4)</f>
        <v>4543.0941568582921</v>
      </c>
      <c r="O4" s="46"/>
      <c r="P4" s="46"/>
      <c r="Q4" s="46"/>
      <c r="R4" s="46"/>
      <c r="S4" s="46"/>
      <c r="T4" s="46"/>
      <c r="U4" s="46"/>
      <c r="V4" s="46"/>
      <c r="W4" s="46"/>
      <c r="X4" s="46"/>
      <c r="Y4" s="46"/>
      <c r="Z4" s="46"/>
      <c r="AA4" s="46"/>
      <c r="AB4" s="46"/>
      <c r="AC4" s="46"/>
    </row>
    <row r="5" spans="1:29" ht="25.5" x14ac:dyDescent="0.2">
      <c r="A5" s="43" t="s">
        <v>57</v>
      </c>
      <c r="B5" s="46"/>
      <c r="C5" s="46">
        <f>B2/C17</f>
        <v>10951.701722584421</v>
      </c>
      <c r="D5" s="46">
        <f>B2/D17</f>
        <v>16505.08047116765</v>
      </c>
      <c r="E5" s="46">
        <f>B2/E17</f>
        <v>5484.0076280106296</v>
      </c>
      <c r="F5" s="46">
        <f>B2/F17</f>
        <v>5682.763487288038</v>
      </c>
      <c r="G5" s="46">
        <f>B2/G17</f>
        <v>5581.6167432270977</v>
      </c>
      <c r="I5" s="46"/>
      <c r="J5" s="46">
        <f t="shared" ref="J5:M5" si="2">J2/C17</f>
        <v>8569.9451619898027</v>
      </c>
      <c r="K5" s="46">
        <f t="shared" si="2"/>
        <v>20221.760167152839</v>
      </c>
      <c r="L5" s="46">
        <f t="shared" si="2"/>
        <v>6676.6598273880008</v>
      </c>
      <c r="M5" s="46">
        <f t="shared" si="2"/>
        <v>4446.8862180738606</v>
      </c>
      <c r="N5" s="46">
        <f t="shared" si="1"/>
        <v>5561.7730227309312</v>
      </c>
      <c r="O5" s="46"/>
      <c r="P5" s="46"/>
      <c r="Q5" s="46"/>
      <c r="R5" s="46"/>
      <c r="S5" s="46"/>
      <c r="T5" s="46"/>
      <c r="U5" s="46"/>
      <c r="V5" s="46"/>
      <c r="W5" s="46"/>
      <c r="X5" s="46"/>
      <c r="Y5" s="46"/>
      <c r="Z5" s="46"/>
      <c r="AA5" s="46"/>
      <c r="AB5" s="46"/>
      <c r="AC5" s="46"/>
    </row>
    <row r="6" spans="1:29" ht="12.75" x14ac:dyDescent="0.2">
      <c r="A6" s="43" t="s">
        <v>64</v>
      </c>
      <c r="B6" s="46"/>
      <c r="C6" s="46">
        <f>B2/C18</f>
        <v>8435.771367694455</v>
      </c>
      <c r="D6" s="46">
        <f>B2/D18</f>
        <v>9808.8448278801661</v>
      </c>
      <c r="E6" s="46">
        <f>B2/E18</f>
        <v>6053.3942072888012</v>
      </c>
      <c r="F6" s="46">
        <f>B2/F18</f>
        <v>3971.1926117902472</v>
      </c>
      <c r="G6" s="46">
        <f>B2/G18</f>
        <v>4796.0469166643679</v>
      </c>
      <c r="I6" s="46"/>
      <c r="J6" s="46">
        <f t="shared" ref="J6:M6" si="3">J2/C18</f>
        <v>6601.1748540540939</v>
      </c>
      <c r="K6" s="46">
        <f t="shared" si="3"/>
        <v>12017.639536669152</v>
      </c>
      <c r="L6" s="46">
        <f t="shared" si="3"/>
        <v>7369.8755845476062</v>
      </c>
      <c r="M6" s="46">
        <f t="shared" si="3"/>
        <v>3107.5447243563417</v>
      </c>
      <c r="N6" s="46">
        <f t="shared" si="1"/>
        <v>5238.7101544519737</v>
      </c>
      <c r="O6" s="46"/>
      <c r="P6" s="46"/>
      <c r="Q6" s="46"/>
      <c r="R6" s="46"/>
      <c r="S6" s="46"/>
      <c r="T6" s="46"/>
      <c r="U6" s="46"/>
      <c r="V6" s="46"/>
      <c r="W6" s="46"/>
      <c r="X6" s="46"/>
      <c r="Y6" s="46"/>
      <c r="Z6" s="46"/>
      <c r="AA6" s="46"/>
      <c r="AB6" s="46"/>
      <c r="AC6" s="46"/>
    </row>
    <row r="7" spans="1:29" ht="12.75" x14ac:dyDescent="0.2">
      <c r="A7" s="43" t="s">
        <v>66</v>
      </c>
      <c r="B7" s="46"/>
      <c r="C7" s="46">
        <f>B2/C19</f>
        <v>10844.648761867438</v>
      </c>
      <c r="D7" s="46">
        <f>B2/D19</f>
        <v>12601.641614614708</v>
      </c>
      <c r="E7" s="46">
        <f>B2/E19</f>
        <v>7571.7455848344134</v>
      </c>
      <c r="F7" s="46">
        <f>B2/F19</f>
        <v>5240.361256569694</v>
      </c>
      <c r="G7" s="46">
        <f>B2/G19</f>
        <v>6193.9355796100153</v>
      </c>
      <c r="I7" s="46"/>
      <c r="J7" s="46">
        <f t="shared" ref="J7:M7" si="4">J2/C19</f>
        <v>8486.1738882633399</v>
      </c>
      <c r="K7" s="46">
        <f t="shared" si="4"/>
        <v>15439.329416678907</v>
      </c>
      <c r="L7" s="46">
        <f t="shared" si="4"/>
        <v>9218.4353120247706</v>
      </c>
      <c r="M7" s="46">
        <f t="shared" si="4"/>
        <v>4100.6968355617628</v>
      </c>
      <c r="N7" s="46">
        <f t="shared" si="1"/>
        <v>6659.5660737932667</v>
      </c>
      <c r="O7" s="46"/>
      <c r="P7" s="46"/>
      <c r="Q7" s="46"/>
      <c r="R7" s="46"/>
      <c r="S7" s="46"/>
      <c r="T7" s="46"/>
      <c r="U7" s="46"/>
      <c r="V7" s="46"/>
      <c r="W7" s="46"/>
      <c r="X7" s="46"/>
      <c r="Y7" s="46"/>
      <c r="Z7" s="46"/>
      <c r="AA7" s="46"/>
      <c r="AB7" s="46"/>
      <c r="AC7" s="46"/>
    </row>
    <row r="8" spans="1:29" ht="12.75" x14ac:dyDescent="0.2">
      <c r="A8" s="43"/>
      <c r="B8" s="46"/>
      <c r="C8" s="46"/>
      <c r="D8" s="46"/>
      <c r="E8" s="46"/>
      <c r="F8" s="46"/>
      <c r="G8" s="46"/>
      <c r="I8" s="46"/>
      <c r="J8" s="46"/>
      <c r="K8" s="46"/>
      <c r="L8" s="46"/>
      <c r="M8" s="46"/>
      <c r="N8" s="46"/>
      <c r="O8" s="46"/>
      <c r="P8" s="46"/>
      <c r="Q8" s="46"/>
      <c r="R8" s="46"/>
      <c r="S8" s="46"/>
      <c r="T8" s="46"/>
      <c r="U8" s="46"/>
      <c r="V8" s="46"/>
      <c r="W8" s="46"/>
      <c r="X8" s="46"/>
      <c r="Y8" s="46"/>
      <c r="Z8" s="46"/>
      <c r="AA8" s="46"/>
      <c r="AB8" s="46"/>
      <c r="AC8" s="46"/>
    </row>
    <row r="9" spans="1:29" ht="63.75" x14ac:dyDescent="0.2">
      <c r="A9" s="12" t="s">
        <v>80</v>
      </c>
      <c r="B9" s="9"/>
      <c r="C9" s="6" t="s">
        <v>18</v>
      </c>
      <c r="D9" s="6" t="s">
        <v>19</v>
      </c>
      <c r="E9" s="6" t="s">
        <v>20</v>
      </c>
      <c r="F9" s="6" t="s">
        <v>21</v>
      </c>
      <c r="G9" s="12" t="s">
        <v>22</v>
      </c>
      <c r="I9" s="12" t="s">
        <v>87</v>
      </c>
      <c r="J9" s="6" t="s">
        <v>18</v>
      </c>
      <c r="K9" s="6" t="s">
        <v>19</v>
      </c>
      <c r="L9" s="6" t="s">
        <v>20</v>
      </c>
      <c r="M9" s="6" t="s">
        <v>21</v>
      </c>
      <c r="N9" s="12" t="s">
        <v>22</v>
      </c>
      <c r="O9" s="9"/>
      <c r="P9" s="9"/>
      <c r="Q9" s="9"/>
      <c r="R9" s="9"/>
      <c r="S9" s="9"/>
      <c r="T9" s="9"/>
      <c r="U9" s="9"/>
      <c r="V9" s="9"/>
      <c r="W9" s="9"/>
      <c r="X9" s="9"/>
      <c r="Y9" s="9"/>
      <c r="Z9" s="9"/>
      <c r="AA9" s="9"/>
      <c r="AB9" s="9"/>
      <c r="AC9" s="9"/>
    </row>
    <row r="10" spans="1:29" ht="12.75" x14ac:dyDescent="0.2">
      <c r="A10" s="43" t="s">
        <v>24</v>
      </c>
      <c r="B10" s="46"/>
      <c r="C10" s="48">
        <f>B2/C22</f>
        <v>108.61403046963947</v>
      </c>
      <c r="D10" s="48">
        <f>B2/D22</f>
        <v>156.65333416346476</v>
      </c>
      <c r="E10" s="48">
        <f>B2/E22</f>
        <v>51.919898101411654</v>
      </c>
      <c r="F10" s="48">
        <f>B2/F22</f>
        <v>54.751863054154178</v>
      </c>
      <c r="G10" s="48">
        <f>B2/G22</f>
        <v>53.29828850371063</v>
      </c>
      <c r="I10" s="46"/>
      <c r="J10" s="46">
        <f>B2/J22</f>
        <v>23777.286179881052</v>
      </c>
      <c r="K10" s="46">
        <f>B2/K22</f>
        <v>34707.997858232236</v>
      </c>
      <c r="L10" s="46">
        <f>B2/L22</f>
        <v>11415.084099774791</v>
      </c>
      <c r="M10" s="46">
        <f>B2/M22</f>
        <v>12379.302991075141</v>
      </c>
      <c r="N10" s="46">
        <f>B2/N22</f>
        <v>11877.657045770851</v>
      </c>
      <c r="O10" s="46"/>
      <c r="P10" s="46"/>
      <c r="Q10" s="46"/>
      <c r="R10" s="46"/>
      <c r="S10" s="46"/>
      <c r="T10" s="46"/>
      <c r="U10" s="46"/>
      <c r="V10" s="46"/>
      <c r="W10" s="46"/>
      <c r="X10" s="46"/>
      <c r="Y10" s="46"/>
      <c r="Z10" s="46"/>
      <c r="AA10" s="46"/>
      <c r="AB10" s="46"/>
      <c r="AC10" s="46"/>
    </row>
    <row r="11" spans="1:29" ht="25.5" x14ac:dyDescent="0.2">
      <c r="A11" s="43" t="s">
        <v>57</v>
      </c>
      <c r="B11" s="46"/>
      <c r="C11" s="46">
        <f>B2/C23</f>
        <v>128.14437785572193</v>
      </c>
      <c r="D11" s="46">
        <f>B2/D23</f>
        <v>193.33664742703806</v>
      </c>
      <c r="E11" s="46">
        <f>B2/E23</f>
        <v>64.235295925129563</v>
      </c>
      <c r="F11" s="46">
        <f>B2/F23</f>
        <v>66.53609233083445</v>
      </c>
      <c r="G11" s="46">
        <f>B2/G23</f>
        <v>65.365453981528333</v>
      </c>
      <c r="I11" s="46"/>
      <c r="J11" s="46">
        <f>B2/J23</f>
        <v>53225.317572062646</v>
      </c>
      <c r="K11" s="46">
        <f>B2/K23</f>
        <v>114585.93647469312</v>
      </c>
      <c r="L11" s="46">
        <f>B2/L23</f>
        <v>37922.663794078224</v>
      </c>
      <c r="M11" s="46">
        <f>B2/M23</f>
        <v>36847.24548195945</v>
      </c>
      <c r="N11" s="67">
        <f>B2/N23</f>
        <v>37377.220747759784</v>
      </c>
      <c r="O11" s="46"/>
      <c r="P11" s="46"/>
      <c r="Q11" s="46"/>
      <c r="R11" s="46"/>
      <c r="S11" s="46"/>
      <c r="T11" s="46"/>
      <c r="U11" s="46"/>
      <c r="V11" s="46"/>
      <c r="W11" s="46"/>
      <c r="X11" s="46"/>
      <c r="Y11" s="46"/>
      <c r="Z11" s="46"/>
      <c r="AA11" s="46"/>
      <c r="AB11" s="46"/>
      <c r="AC11" s="46"/>
    </row>
    <row r="12" spans="1:29" ht="12.75" x14ac:dyDescent="0.2">
      <c r="A12" s="43" t="s">
        <v>64</v>
      </c>
      <c r="B12" s="46"/>
      <c r="C12" s="46">
        <f>B2/C24</f>
        <v>98.486351451807693</v>
      </c>
      <c r="D12" s="46">
        <f>B2/D24</f>
        <v>114.52106200937537</v>
      </c>
      <c r="E12" s="46">
        <f>B2/E24</f>
        <v>70.667013110004433</v>
      </c>
      <c r="F12" s="46">
        <f>B2/F24</f>
        <v>47.131190827883024</v>
      </c>
      <c r="G12" s="46">
        <f>B2/G24</f>
        <v>56.547899183255751</v>
      </c>
      <c r="I12" s="46"/>
      <c r="J12" s="46">
        <f>B2/J24</f>
        <v>18296.822243562965</v>
      </c>
      <c r="K12" s="46">
        <f>B2/K24</f>
        <v>23700.523113594249</v>
      </c>
      <c r="L12" s="46">
        <f>B2/L24</f>
        <v>15180.405444870676</v>
      </c>
      <c r="M12" s="46">
        <f>B2/M24</f>
        <v>9270.9988936912432</v>
      </c>
      <c r="N12" s="46">
        <f>B2/N24</f>
        <v>11511.610550992007</v>
      </c>
      <c r="O12" s="46"/>
      <c r="P12" s="46"/>
      <c r="Q12" s="46"/>
      <c r="R12" s="46"/>
      <c r="S12" s="46"/>
      <c r="T12" s="46"/>
      <c r="U12" s="46"/>
      <c r="V12" s="46"/>
      <c r="W12" s="46"/>
      <c r="X12" s="46"/>
      <c r="Y12" s="46"/>
      <c r="Z12" s="46"/>
      <c r="AA12" s="46"/>
      <c r="AB12" s="46"/>
      <c r="AC12" s="46"/>
    </row>
    <row r="13" spans="1:29" ht="12.75" x14ac:dyDescent="0.2">
      <c r="A13" s="43" t="s">
        <v>66</v>
      </c>
      <c r="B13" s="46"/>
      <c r="C13" s="46">
        <f>B2/C25</f>
        <v>102.29596752312395</v>
      </c>
      <c r="D13" s="46">
        <f>B2/D25</f>
        <v>114.52106200937537</v>
      </c>
      <c r="E13" s="46">
        <f>B2/E25</f>
        <v>70.667013110004433</v>
      </c>
      <c r="F13" s="46">
        <f>B2/F25</f>
        <v>47.131190827883024</v>
      </c>
      <c r="G13" s="46">
        <f>B2/G25</f>
        <v>56.547899183255751</v>
      </c>
      <c r="I13" s="46"/>
      <c r="J13" s="46">
        <f>B2/J25</f>
        <v>59918.761457716304</v>
      </c>
      <c r="K13" s="46">
        <f>B2/K25</f>
        <v>103985.65111644819</v>
      </c>
      <c r="L13" s="46">
        <f>B2/L25</f>
        <v>55212.230687543946</v>
      </c>
      <c r="M13" s="46">
        <f>B2/M25</f>
        <v>50172.290099197038</v>
      </c>
      <c r="N13" s="46">
        <f>B2/N25</f>
        <v>52571.744586378925</v>
      </c>
      <c r="O13" s="46"/>
      <c r="P13" s="46"/>
      <c r="Q13" s="46"/>
      <c r="R13" s="46"/>
      <c r="S13" s="46"/>
      <c r="T13" s="46"/>
      <c r="U13" s="46"/>
      <c r="V13" s="46"/>
      <c r="W13" s="46"/>
      <c r="X13" s="46"/>
      <c r="Y13" s="46"/>
      <c r="Z13" s="46"/>
      <c r="AA13" s="46"/>
      <c r="AB13" s="46"/>
      <c r="AC13" s="46"/>
    </row>
    <row r="14" spans="1:29" ht="12.75" x14ac:dyDescent="0.2">
      <c r="A14" s="1"/>
    </row>
    <row r="15" spans="1:29" ht="38.25" x14ac:dyDescent="0.2">
      <c r="A15" s="68" t="s">
        <v>96</v>
      </c>
      <c r="B15" s="70"/>
      <c r="C15" s="6" t="s">
        <v>18</v>
      </c>
      <c r="D15" s="6" t="s">
        <v>19</v>
      </c>
      <c r="E15" s="6" t="s">
        <v>20</v>
      </c>
      <c r="F15" s="6" t="s">
        <v>21</v>
      </c>
      <c r="G15" s="68" t="s">
        <v>22</v>
      </c>
      <c r="H15" s="71"/>
      <c r="I15" s="71"/>
      <c r="J15" s="71"/>
      <c r="K15" s="71"/>
      <c r="L15" s="71"/>
      <c r="M15" s="71"/>
    </row>
    <row r="16" spans="1:29" ht="12.75" x14ac:dyDescent="0.2">
      <c r="A16" s="43" t="s">
        <v>24</v>
      </c>
      <c r="B16" s="46"/>
      <c r="C16" s="72">
        <f>SUM(C99:E111)</f>
        <v>5.5543329446350151E-5</v>
      </c>
      <c r="D16" s="72">
        <f>SUM(I99:K111)</f>
        <v>3.8520310465021547E-5</v>
      </c>
      <c r="E16" s="72">
        <f>SUM(O99:Q111)</f>
        <v>1.1621520956912078E-4</v>
      </c>
      <c r="F16" s="72">
        <f>SUM(U99:W111)</f>
        <v>1.1019610733896665E-4</v>
      </c>
      <c r="G16" s="72">
        <f t="shared" ref="G16:G19" si="5">AVERAGE(E16,F16)</f>
        <v>1.1320565845404371E-4</v>
      </c>
      <c r="H16" s="72"/>
      <c r="I16" s="46"/>
      <c r="J16" s="46"/>
      <c r="K16" s="46"/>
      <c r="L16" s="46"/>
      <c r="M16" s="46"/>
    </row>
    <row r="17" spans="1:29" ht="25.5" x14ac:dyDescent="0.2">
      <c r="A17" s="43" t="s">
        <v>57</v>
      </c>
      <c r="B17" s="46"/>
      <c r="C17" s="72">
        <f>SUM(C99:E105,C110)</f>
        <v>4.7200807669977328E-5</v>
      </c>
      <c r="D17" s="72">
        <f>SUM(I99:K105)</f>
        <v>3.1319396931731322E-5</v>
      </c>
      <c r="E17" s="72">
        <f>SUM(O99:Q105)</f>
        <v>9.4261204894455458E-5</v>
      </c>
      <c r="F17" s="72">
        <f>SUM(U99:W105)</f>
        <v>9.0964399243959851E-5</v>
      </c>
      <c r="G17" s="72">
        <f t="shared" si="5"/>
        <v>9.2612802069207655E-5</v>
      </c>
      <c r="H17" s="72"/>
      <c r="I17" s="46"/>
      <c r="J17" s="46"/>
      <c r="K17" s="46"/>
      <c r="L17" s="46"/>
      <c r="M17" s="46"/>
    </row>
    <row r="18" spans="1:29" ht="12.75" x14ac:dyDescent="0.2">
      <c r="A18" s="43" t="s">
        <v>64</v>
      </c>
      <c r="B18" s="46"/>
      <c r="C18" s="72">
        <f>SUM(F99:H111)</f>
        <v>6.1278233386728975E-5</v>
      </c>
      <c r="D18" s="72">
        <f>SUM(L99:N112)</f>
        <v>5.2700310356360545E-5</v>
      </c>
      <c r="E18" s="72">
        <f>SUM(R99:T112)</f>
        <v>8.5394928690459308E-5</v>
      </c>
      <c r="F18" s="72">
        <f>SUM(X99:Z112)</f>
        <v>1.3016975432819175E-4</v>
      </c>
      <c r="G18" s="72">
        <f t="shared" si="5"/>
        <v>1.0778234150932553E-4</v>
      </c>
      <c r="H18" s="72"/>
      <c r="I18" s="46"/>
      <c r="J18" s="46"/>
      <c r="K18" s="46"/>
      <c r="L18" s="46"/>
      <c r="M18" s="46"/>
    </row>
    <row r="19" spans="1:29" ht="12.75" x14ac:dyDescent="0.2">
      <c r="A19" s="43" t="s">
        <v>66</v>
      </c>
      <c r="B19" s="46"/>
      <c r="C19" s="72">
        <f>SUM(F99:H105,F110)</f>
        <v>4.7666750488436473E-5</v>
      </c>
      <c r="D19" s="72">
        <f>SUM(L99:N105)</f>
        <v>4.1020779869438596E-5</v>
      </c>
      <c r="E19" s="72">
        <f>SUM(R99:T105)</f>
        <v>6.8270805044220382E-5</v>
      </c>
      <c r="F19" s="72">
        <f>SUM(X99:Z105)</f>
        <v>9.8643803615372337E-5</v>
      </c>
      <c r="G19" s="72">
        <f t="shared" si="5"/>
        <v>8.345730432979636E-5</v>
      </c>
      <c r="H19" s="72"/>
      <c r="I19" s="46"/>
      <c r="J19" s="46"/>
      <c r="K19" s="46"/>
      <c r="L19" s="46"/>
      <c r="M19" s="46"/>
    </row>
    <row r="20" spans="1:29" ht="12.75" x14ac:dyDescent="0.2">
      <c r="A20" s="1"/>
    </row>
    <row r="21" spans="1:29" ht="38.25" x14ac:dyDescent="0.2">
      <c r="A21" s="68" t="s">
        <v>101</v>
      </c>
      <c r="B21" s="70"/>
      <c r="C21" s="6" t="s">
        <v>18</v>
      </c>
      <c r="D21" s="6" t="s">
        <v>19</v>
      </c>
      <c r="E21" s="6" t="s">
        <v>20</v>
      </c>
      <c r="F21" s="6" t="s">
        <v>21</v>
      </c>
      <c r="G21" s="12" t="s">
        <v>22</v>
      </c>
      <c r="I21" s="12" t="s">
        <v>102</v>
      </c>
      <c r="J21" s="6" t="s">
        <v>18</v>
      </c>
      <c r="K21" s="6" t="s">
        <v>19</v>
      </c>
      <c r="L21" s="6" t="s">
        <v>20</v>
      </c>
      <c r="M21" s="6" t="s">
        <v>21</v>
      </c>
      <c r="N21" s="12" t="s">
        <v>22</v>
      </c>
      <c r="O21" s="25"/>
      <c r="P21" s="25"/>
      <c r="Q21" s="25"/>
      <c r="R21" s="25"/>
      <c r="S21" s="25"/>
      <c r="T21" s="25"/>
      <c r="U21" s="25"/>
      <c r="V21" s="25"/>
      <c r="W21" s="25"/>
      <c r="X21" s="25"/>
      <c r="Y21" s="25"/>
      <c r="Z21" s="25"/>
      <c r="AA21" s="25"/>
      <c r="AB21" s="25"/>
      <c r="AC21" s="25"/>
    </row>
    <row r="22" spans="1:29" ht="12.75" x14ac:dyDescent="0.2">
      <c r="A22" s="43" t="s">
        <v>24</v>
      </c>
      <c r="B22" s="46"/>
      <c r="C22" s="72">
        <f>SUM(C131:E143)</f>
        <v>4.7593222020350509E-3</v>
      </c>
      <c r="D22" s="72">
        <f>SUM(I131:K143)</f>
        <v>3.2998286913399556E-3</v>
      </c>
      <c r="E22" s="72">
        <f>SUM(O131:Q143)</f>
        <v>9.9562823805428823E-3</v>
      </c>
      <c r="F22" s="72">
        <f>SUM(U131:W143)</f>
        <v>9.4413073424621258E-3</v>
      </c>
      <c r="G22" s="72">
        <f t="shared" ref="G22:G25" si="6">AVERAGE(E22,F22)</f>
        <v>9.6987948615025049E-3</v>
      </c>
      <c r="J22" s="78">
        <f>SUM(C115:E127)</f>
        <v>2.1740461159274849E-5</v>
      </c>
      <c r="K22" s="78">
        <f>SUM(I115:K127)</f>
        <v>1.4893661362378426E-5</v>
      </c>
      <c r="L22" s="78">
        <f>SUM(O115:Q127)</f>
        <v>4.5284744479181294E-5</v>
      </c>
      <c r="M22" s="78">
        <f>SUM(U115:W127)</f>
        <v>4.1757534090517594E-5</v>
      </c>
      <c r="N22" s="78">
        <f t="shared" ref="N22:N25" si="7">AVERAGE(L22,M22)</f>
        <v>4.3521139284849448E-5</v>
      </c>
    </row>
    <row r="23" spans="1:29" ht="25.5" x14ac:dyDescent="0.2">
      <c r="A23" s="43" t="s">
        <v>57</v>
      </c>
      <c r="B23" s="46"/>
      <c r="C23" s="72">
        <f>SUM(C131:E137,C142)</f>
        <v>4.0339590024673459E-3</v>
      </c>
      <c r="D23" s="72">
        <f>SUM(I131:K137)</f>
        <v>2.6737257190815149E-3</v>
      </c>
      <c r="E23" s="72">
        <f>SUM(O131:Q137)</f>
        <v>8.0474318553647103E-3</v>
      </c>
      <c r="F23" s="72">
        <f>SUM(U131:W137)</f>
        <v>7.7691542824060477E-3</v>
      </c>
      <c r="G23" s="72">
        <f t="shared" si="6"/>
        <v>7.9082930688853786E-3</v>
      </c>
      <c r="J23" s="78">
        <f>SUM(C115:E121,C126)</f>
        <v>9.7120917309095923E-6</v>
      </c>
      <c r="K23" s="78">
        <f>SUM(I115:K121)</f>
        <v>4.5112793294736746E-6</v>
      </c>
      <c r="L23" s="78">
        <f>SUM(O115:Q121)</f>
        <v>1.3631140720325328E-5</v>
      </c>
      <c r="M23" s="78">
        <f>SUM(U115:W121)</f>
        <v>1.4028977197759794E-5</v>
      </c>
      <c r="N23" s="78">
        <f t="shared" si="7"/>
        <v>1.3830058959042562E-5</v>
      </c>
    </row>
    <row r="24" spans="1:29" ht="12.75" x14ac:dyDescent="0.2">
      <c r="A24" s="43" t="s">
        <v>64</v>
      </c>
      <c r="B24" s="46"/>
      <c r="C24" s="72">
        <f>SUM(F131:H143)</f>
        <v>5.2487391303110212E-3</v>
      </c>
      <c r="D24" s="72">
        <f>SUM(L131:N143)</f>
        <v>4.5138349016039317E-3</v>
      </c>
      <c r="E24" s="72">
        <f>SUM(R131:T143)</f>
        <v>7.3149995155729064E-3</v>
      </c>
      <c r="F24" s="72">
        <f>SUM(X131:Z143)</f>
        <v>1.0967878332512851E-2</v>
      </c>
      <c r="G24" s="72">
        <f t="shared" si="6"/>
        <v>9.1414389240428787E-3</v>
      </c>
      <c r="J24" s="78">
        <f>SUM(F115:H127)</f>
        <v>2.8252401416236547E-5</v>
      </c>
      <c r="K24" s="78">
        <f>SUM(L115:N127)</f>
        <v>2.1810875827047218E-5</v>
      </c>
      <c r="L24" s="78">
        <f>SUM(R115:T127)</f>
        <v>3.405239527652619E-5</v>
      </c>
      <c r="M24" s="78">
        <f>SUM(X115:Z127)</f>
        <v>5.5757655954249775E-5</v>
      </c>
      <c r="N24" s="78">
        <f t="shared" si="7"/>
        <v>4.4905025615387982E-5</v>
      </c>
    </row>
    <row r="25" spans="1:29" ht="12.75" x14ac:dyDescent="0.2">
      <c r="A25" s="43" t="s">
        <v>66</v>
      </c>
      <c r="B25" s="46"/>
      <c r="C25" s="72">
        <f>SUM(C131:E143,F142)</f>
        <v>5.0532702234798756E-3</v>
      </c>
      <c r="D25" s="72">
        <f>SUM(L131:N143)</f>
        <v>4.5138349016039317E-3</v>
      </c>
      <c r="E25" s="72">
        <f>SUM(R131:T143)</f>
        <v>7.3149995155729064E-3</v>
      </c>
      <c r="F25" s="72">
        <f>SUM(X131:Z143)</f>
        <v>1.0967878332512851E-2</v>
      </c>
      <c r="G25" s="72">
        <f t="shared" si="6"/>
        <v>9.1414389240428787E-3</v>
      </c>
      <c r="J25" s="78">
        <f>SUM(F115:H121,F126)</f>
        <v>8.6271670857458423E-6</v>
      </c>
      <c r="K25" s="78">
        <f>SUM(L115:N121)</f>
        <v>4.9711586273358451E-6</v>
      </c>
      <c r="L25" s="78">
        <f>SUM(R115:T121)</f>
        <v>9.3625843446185466E-6</v>
      </c>
      <c r="M25" s="78">
        <f>SUM(X115:Z121)</f>
        <v>1.0303080956532611E-5</v>
      </c>
      <c r="N25" s="78">
        <f t="shared" si="7"/>
        <v>9.832832650575579E-6</v>
      </c>
    </row>
    <row r="26" spans="1:29" ht="12.75" x14ac:dyDescent="0.2">
      <c r="A26" s="43"/>
      <c r="B26" s="46"/>
      <c r="C26" s="72"/>
      <c r="D26" s="72"/>
      <c r="E26" s="72"/>
      <c r="F26" s="72"/>
    </row>
    <row r="27" spans="1:29" ht="38.25" x14ac:dyDescent="0.2">
      <c r="A27" s="68" t="s">
        <v>110</v>
      </c>
      <c r="B27" s="70"/>
      <c r="C27" s="6" t="s">
        <v>18</v>
      </c>
      <c r="D27" s="6" t="s">
        <v>19</v>
      </c>
      <c r="E27" s="6" t="s">
        <v>20</v>
      </c>
      <c r="F27" s="6" t="s">
        <v>21</v>
      </c>
      <c r="G27" s="12" t="s">
        <v>111</v>
      </c>
    </row>
    <row r="28" spans="1:29" ht="12.75" x14ac:dyDescent="0.2">
      <c r="A28" s="43" t="s">
        <v>24</v>
      </c>
      <c r="B28" s="46"/>
      <c r="C28" s="93">
        <f>'New Implementation Costs'!I7*C16</f>
        <v>16.662998833905046</v>
      </c>
      <c r="D28" s="93">
        <f>'New Implementation Costs'!I8*D16</f>
        <v>5.7780465697532319</v>
      </c>
      <c r="E28" s="93">
        <f>'New Implementation Costs'!I9*E16</f>
        <v>17.432281435368118</v>
      </c>
      <c r="F28" s="93">
        <f>'New Implementation Costs'!I7*F16</f>
        <v>33.058832201689995</v>
      </c>
      <c r="G28" s="93">
        <f t="shared" ref="G28:G31" si="8">SUM(E28,F28)</f>
        <v>50.491113637058113</v>
      </c>
    </row>
    <row r="29" spans="1:29" ht="25.5" x14ac:dyDescent="0.2">
      <c r="A29" s="43" t="s">
        <v>57</v>
      </c>
      <c r="B29" s="46"/>
      <c r="C29" s="93">
        <f>'New Implementation Costs'!I7*C17</f>
        <v>14.160242300993199</v>
      </c>
      <c r="D29" s="93">
        <f>'New Implementation Costs'!I8*D17</f>
        <v>4.6979095397596984</v>
      </c>
      <c r="E29" s="93">
        <f>'New Implementation Costs'!I9*E17</f>
        <v>14.139180734168319</v>
      </c>
      <c r="F29" s="93">
        <f>'New Implementation Costs'!I7*F17</f>
        <v>27.289319773187955</v>
      </c>
      <c r="G29" s="93">
        <f t="shared" si="8"/>
        <v>41.428500507356276</v>
      </c>
    </row>
    <row r="30" spans="1:29" ht="12.75" x14ac:dyDescent="0.2">
      <c r="A30" s="43" t="s">
        <v>64</v>
      </c>
      <c r="B30" s="46"/>
      <c r="C30" s="93">
        <f>'New Implementation Costs'!I7*C18</f>
        <v>18.383470016018691</v>
      </c>
      <c r="D30" s="93">
        <f>'New Implementation Costs'!I8*D18</f>
        <v>7.9050465534540821</v>
      </c>
      <c r="E30" s="93">
        <f>'New Implementation Costs'!I9*E18</f>
        <v>12.809239303568896</v>
      </c>
      <c r="F30" s="93">
        <f>'New Implementation Costs'!I7*F18</f>
        <v>39.050926298457526</v>
      </c>
      <c r="G30" s="93">
        <f t="shared" si="8"/>
        <v>51.86016560202642</v>
      </c>
    </row>
    <row r="31" spans="1:29" ht="12.75" x14ac:dyDescent="0.2">
      <c r="A31" s="43" t="s">
        <v>66</v>
      </c>
      <c r="B31" s="46"/>
      <c r="C31" s="93">
        <f>'New Implementation Costs'!I7*C19</f>
        <v>14.300025146530942</v>
      </c>
      <c r="D31" s="93">
        <f>'New Implementation Costs'!I8*D19</f>
        <v>6.1531169804157893</v>
      </c>
      <c r="E31" s="93">
        <f>'New Implementation Costs'!I9*E19</f>
        <v>10.240620756633056</v>
      </c>
      <c r="F31" s="93">
        <f>'New Implementation Costs'!I7*F19</f>
        <v>29.593141084611702</v>
      </c>
      <c r="G31" s="93">
        <f t="shared" si="8"/>
        <v>39.833761841244758</v>
      </c>
    </row>
    <row r="32" spans="1:29" ht="12.75" x14ac:dyDescent="0.2">
      <c r="A32" s="43"/>
      <c r="B32" s="46"/>
      <c r="C32" s="72"/>
      <c r="D32" s="72"/>
      <c r="E32" s="72"/>
      <c r="F32" s="72"/>
    </row>
    <row r="33" spans="1:29" ht="38.25" x14ac:dyDescent="0.2">
      <c r="A33" s="68" t="s">
        <v>126</v>
      </c>
      <c r="B33" s="70"/>
      <c r="C33" s="6" t="s">
        <v>18</v>
      </c>
      <c r="D33" s="6" t="s">
        <v>19</v>
      </c>
      <c r="E33" s="6" t="s">
        <v>20</v>
      </c>
      <c r="F33" s="6" t="s">
        <v>21</v>
      </c>
      <c r="G33" s="12" t="s">
        <v>111</v>
      </c>
      <c r="I33" s="12" t="s">
        <v>127</v>
      </c>
      <c r="J33" s="6" t="s">
        <v>18</v>
      </c>
      <c r="K33" s="6" t="s">
        <v>19</v>
      </c>
      <c r="L33" s="6" t="s">
        <v>20</v>
      </c>
      <c r="M33" s="6" t="s">
        <v>21</v>
      </c>
      <c r="N33" s="12" t="s">
        <v>111</v>
      </c>
    </row>
    <row r="34" spans="1:29" ht="12.75" x14ac:dyDescent="0.2">
      <c r="A34" s="43" t="s">
        <v>24</v>
      </c>
      <c r="B34" s="46"/>
      <c r="C34" s="93">
        <f>'New Implementation Costs'!I7*C22</f>
        <v>1427.7966606105153</v>
      </c>
      <c r="D34" s="93">
        <f>'New Implementation Costs'!I8*D22</f>
        <v>494.97430370099335</v>
      </c>
      <c r="E34" s="93">
        <f>'New Implementation Costs'!I9*E22</f>
        <v>1493.4423570814324</v>
      </c>
      <c r="F34" s="93">
        <f>'New Implementation Costs'!I7*F22</f>
        <v>2832.3922027386379</v>
      </c>
      <c r="G34" s="93">
        <f>'New Implementation Costs'!I10*G22</f>
        <v>4364.4576876761275</v>
      </c>
      <c r="J34" s="107">
        <f>'New Implementation Costs'!I7*J22</f>
        <v>6.5221383477824544</v>
      </c>
      <c r="K34" s="107">
        <f>'New Implementation Costs'!I8*K22</f>
        <v>2.2340492043567637</v>
      </c>
      <c r="L34" s="107">
        <f>'New Implementation Costs'!I9*L22</f>
        <v>6.7927116718771945</v>
      </c>
      <c r="M34" s="107">
        <f>'New Implementation Costs'!I7*M22</f>
        <v>12.527260227155278</v>
      </c>
      <c r="N34" s="107">
        <f t="shared" ref="N34:N37" si="9">SUM(L34,M34)</f>
        <v>19.319971899032474</v>
      </c>
    </row>
    <row r="35" spans="1:29" ht="25.5" x14ac:dyDescent="0.2">
      <c r="A35" s="43" t="s">
        <v>57</v>
      </c>
      <c r="B35" s="46"/>
      <c r="C35" s="93">
        <f>'New Implementation Costs'!I7*C23</f>
        <v>1210.1877007402038</v>
      </c>
      <c r="D35" s="93">
        <f>'New Implementation Costs'!I8*D23</f>
        <v>401.05885786222723</v>
      </c>
      <c r="E35" s="93">
        <f>'New Implementation Costs'!I9*E23</f>
        <v>1207.1147783047065</v>
      </c>
      <c r="F35" s="93">
        <f>'New Implementation Costs'!I7*F23</f>
        <v>2330.7462847218144</v>
      </c>
      <c r="G35" s="93">
        <f>'New Implementation Costs'!I10*G23</f>
        <v>3558.7318809984204</v>
      </c>
      <c r="J35" s="107">
        <f>'New Implementation Costs'!I7*J23</f>
        <v>2.9136275192728776</v>
      </c>
      <c r="K35" s="107">
        <f>'New Implementation Costs'!I8*K23</f>
        <v>0.67669189942105124</v>
      </c>
      <c r="L35" s="107">
        <f>'New Implementation Costs'!I9*L23</f>
        <v>2.0446711080487994</v>
      </c>
      <c r="M35" s="107">
        <f>'New Implementation Costs'!I7*M23</f>
        <v>4.2086931593279377</v>
      </c>
      <c r="N35" s="107">
        <f t="shared" si="9"/>
        <v>6.2533642673767371</v>
      </c>
    </row>
    <row r="36" spans="1:29" ht="12.75" x14ac:dyDescent="0.2">
      <c r="A36" s="43" t="s">
        <v>64</v>
      </c>
      <c r="B36" s="46"/>
      <c r="C36" s="93">
        <f>'New Implementation Costs'!I7*C24</f>
        <v>1574.6217390933064</v>
      </c>
      <c r="D36" s="93">
        <f>'New Implementation Costs'!I8*D24</f>
        <v>677.07523524058979</v>
      </c>
      <c r="E36" s="93">
        <f>'New Implementation Costs'!I9*E24</f>
        <v>1097.249927335936</v>
      </c>
      <c r="F36" s="93">
        <f>'New Implementation Costs'!I7*F24</f>
        <v>3290.3634997538552</v>
      </c>
      <c r="G36" s="93">
        <f>'New Implementation Costs'!I10*G24</f>
        <v>4113.6475158192952</v>
      </c>
      <c r="J36" s="107">
        <f>'New Implementation Costs'!I7*J24</f>
        <v>8.4757204248709641</v>
      </c>
      <c r="K36" s="107">
        <f>'New Implementation Costs'!I8*K24</f>
        <v>3.2716313740570828</v>
      </c>
      <c r="L36" s="107">
        <f>'New Implementation Costs'!I9*L25</f>
        <v>1.404387651692782</v>
      </c>
      <c r="M36" s="107">
        <f>'New Implementation Costs'!I7*M24</f>
        <v>16.727296786274934</v>
      </c>
      <c r="N36" s="107">
        <f t="shared" si="9"/>
        <v>18.131684437967717</v>
      </c>
    </row>
    <row r="37" spans="1:29" ht="12.75" x14ac:dyDescent="0.2">
      <c r="A37" s="43" t="s">
        <v>66</v>
      </c>
      <c r="B37" s="46"/>
      <c r="C37" s="93">
        <f>'New Implementation Costs'!I7*C25</f>
        <v>1515.9810670439626</v>
      </c>
      <c r="D37" s="93">
        <f>'New Implementation Costs'!I8*D25</f>
        <v>677.07523524058979</v>
      </c>
      <c r="E37" s="93">
        <f>'New Implementation Costs'!I9*E25</f>
        <v>1097.249927335936</v>
      </c>
      <c r="F37" s="93">
        <f>'New Implementation Costs'!I7*F25</f>
        <v>3290.3634997538552</v>
      </c>
      <c r="G37" s="93">
        <f>'New Implementation Costs'!I10*G25</f>
        <v>4113.6475158192952</v>
      </c>
      <c r="J37" s="107">
        <f>'New Implementation Costs'!I7*J25</f>
        <v>2.5881501257237525</v>
      </c>
      <c r="K37" s="107">
        <f>'New Implementation Costs'!I8*K25</f>
        <v>0.74567379410037671</v>
      </c>
      <c r="L37" s="107">
        <f>'New Implementation Costs'!I9*L25</f>
        <v>1.404387651692782</v>
      </c>
      <c r="M37" s="107">
        <f>'New Implementation Costs'!I7*M25</f>
        <v>3.0909242869597833</v>
      </c>
      <c r="N37" s="107">
        <f t="shared" si="9"/>
        <v>4.4953119386525655</v>
      </c>
    </row>
    <row r="38" spans="1:29" ht="12.75" x14ac:dyDescent="0.2">
      <c r="A38" s="1"/>
    </row>
    <row r="39" spans="1:29" ht="12.75" x14ac:dyDescent="0.2">
      <c r="A39" s="1"/>
    </row>
    <row r="40" spans="1:29" ht="25.5" x14ac:dyDescent="0.2">
      <c r="A40" s="12" t="s">
        <v>139</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row>
    <row r="41" spans="1:29" ht="38.25" x14ac:dyDescent="0.2">
      <c r="A41" s="27"/>
      <c r="B41" s="27"/>
      <c r="C41" s="26" t="s">
        <v>74</v>
      </c>
      <c r="D41" s="26" t="s">
        <v>75</v>
      </c>
      <c r="E41" s="26" t="s">
        <v>76</v>
      </c>
      <c r="F41" s="61" t="s">
        <v>77</v>
      </c>
      <c r="G41" s="26" t="s">
        <v>78</v>
      </c>
      <c r="H41" s="26" t="s">
        <v>79</v>
      </c>
      <c r="I41" s="26" t="s">
        <v>81</v>
      </c>
      <c r="J41" s="26" t="s">
        <v>82</v>
      </c>
      <c r="K41" s="26" t="s">
        <v>83</v>
      </c>
      <c r="L41" s="26" t="s">
        <v>84</v>
      </c>
      <c r="M41" s="26" t="s">
        <v>85</v>
      </c>
      <c r="N41" s="26" t="s">
        <v>86</v>
      </c>
      <c r="O41" s="27"/>
      <c r="P41" s="27"/>
      <c r="Q41" s="27"/>
      <c r="R41" s="27"/>
      <c r="S41" s="27"/>
      <c r="T41" s="27"/>
      <c r="U41" s="27"/>
      <c r="V41" s="27"/>
      <c r="W41" s="27"/>
      <c r="X41" s="27"/>
      <c r="Y41" s="27"/>
      <c r="Z41" s="27"/>
      <c r="AA41" s="27"/>
      <c r="AB41" s="27"/>
      <c r="AC41" s="27"/>
    </row>
    <row r="42" spans="1:29" ht="12.75" x14ac:dyDescent="0.2">
      <c r="A42" s="29" t="s">
        <v>40</v>
      </c>
      <c r="C42" s="63">
        <f>'National CEA estimate'!G19</f>
        <v>0.81103448275862067</v>
      </c>
      <c r="D42" s="63">
        <f>'National CEA estimate'!H19</f>
        <v>0.79751724137931035</v>
      </c>
      <c r="E42" s="63">
        <f>'National CEA estimate'!I19</f>
        <v>0.78400000000000003</v>
      </c>
      <c r="H42" s="64">
        <f>'National CEA estimate'!L19</f>
        <v>0.83</v>
      </c>
      <c r="I42" s="63">
        <f>'National CEA estimate'!M19</f>
        <v>0.8735593220338983</v>
      </c>
      <c r="J42" s="63">
        <f>'National CEA estimate'!N19</f>
        <v>0.85899999999999999</v>
      </c>
      <c r="K42" s="63">
        <f>'National CEA estimate'!O19</f>
        <v>0.748</v>
      </c>
      <c r="L42" s="63">
        <f>'National CEA estimate'!P19</f>
        <v>0.9</v>
      </c>
      <c r="M42" s="64">
        <f>'National CEA estimate'!Q19</f>
        <v>0.88500000000000001</v>
      </c>
      <c r="N42" s="64">
        <f>'National CEA estimate'!R19</f>
        <v>0.87</v>
      </c>
    </row>
    <row r="43" spans="1:29" ht="12.75" x14ac:dyDescent="0.2">
      <c r="A43" s="35" t="s">
        <v>89</v>
      </c>
      <c r="C43" s="69">
        <f>'National CEA estimate'!G20</f>
        <v>0.81103448275862067</v>
      </c>
      <c r="D43" s="69">
        <f>'National CEA estimate'!H20</f>
        <v>0.79751724137931035</v>
      </c>
      <c r="E43" s="64">
        <f>'National CEA estimate'!I20</f>
        <v>0.78400000000000003</v>
      </c>
      <c r="F43" s="98"/>
      <c r="G43" s="98"/>
      <c r="H43" s="98"/>
      <c r="I43" s="69">
        <f>'National CEA estimate'!M20</f>
        <v>0.8735593220338983</v>
      </c>
      <c r="J43" s="69">
        <f>'National CEA estimate'!N20</f>
        <v>0.85899999999999999</v>
      </c>
      <c r="K43" s="64">
        <f>'National CEA estimate'!O20</f>
        <v>0.748</v>
      </c>
      <c r="L43" s="63">
        <f>'National CEA estimate'!P20</f>
        <v>0.9</v>
      </c>
      <c r="M43" s="63">
        <f>'National CEA estimate'!Q20</f>
        <v>0.88500000000000001</v>
      </c>
      <c r="N43" s="64">
        <f>'National CEA estimate'!R20</f>
        <v>0.87</v>
      </c>
    </row>
    <row r="44" spans="1:29" ht="12.75" x14ac:dyDescent="0.2">
      <c r="A44" s="29" t="s">
        <v>44</v>
      </c>
      <c r="C44" s="69">
        <f>'National CEA estimate'!G21</f>
        <v>0.81103448275862067</v>
      </c>
      <c r="D44" s="69">
        <f>'National CEA estimate'!H21</f>
        <v>0.79751724137931035</v>
      </c>
      <c r="E44" s="64">
        <f>'National CEA estimate'!I21</f>
        <v>0.78400000000000003</v>
      </c>
      <c r="F44" s="98"/>
      <c r="G44" s="98"/>
      <c r="H44" s="98"/>
      <c r="I44" s="69">
        <f>'National CEA estimate'!M21</f>
        <v>0.8735593220338983</v>
      </c>
      <c r="J44" s="69">
        <f>'National CEA estimate'!N21</f>
        <v>0.85899999999999999</v>
      </c>
      <c r="K44" s="64">
        <f>'National CEA estimate'!O21</f>
        <v>0.748</v>
      </c>
      <c r="L44" s="63">
        <f>'National CEA estimate'!P21</f>
        <v>0.9</v>
      </c>
      <c r="M44" s="63">
        <f>'National CEA estimate'!Q21</f>
        <v>0.88500000000000001</v>
      </c>
      <c r="N44" s="64">
        <f>'National CEA estimate'!R21</f>
        <v>0.87</v>
      </c>
    </row>
    <row r="45" spans="1:29" ht="12.75" x14ac:dyDescent="0.2">
      <c r="A45" s="29" t="s">
        <v>48</v>
      </c>
      <c r="C45" s="69">
        <f>'National CEA estimate'!G22</f>
        <v>0.81100000000000005</v>
      </c>
      <c r="D45" s="69">
        <f>'National CEA estimate'!H22</f>
        <v>0.64320689655172414</v>
      </c>
      <c r="E45" s="64">
        <f>'National CEA estimate'!I22</f>
        <v>0</v>
      </c>
      <c r="F45" s="69">
        <f>'National CEA estimate'!J22</f>
        <v>0.74</v>
      </c>
      <c r="G45" s="98"/>
      <c r="H45" s="98"/>
      <c r="I45" s="69">
        <f>'National CEA estimate'!M22</f>
        <v>0.78900000000000003</v>
      </c>
      <c r="J45" s="69">
        <f>'National CEA estimate'!N22</f>
        <v>0.62575862068965515</v>
      </c>
      <c r="K45" s="64">
        <f>'National CEA estimate'!O22</f>
        <v>0</v>
      </c>
      <c r="L45" s="63">
        <f>'National CEA estimate'!P22</f>
        <v>0.87</v>
      </c>
      <c r="M45" s="63">
        <f>'National CEA estimate'!Q22</f>
        <v>0.69</v>
      </c>
      <c r="N45" s="64">
        <f>'National CEA estimate'!R22</f>
        <v>0</v>
      </c>
    </row>
    <row r="46" spans="1:29" ht="12.75" x14ac:dyDescent="0.2">
      <c r="A46" s="35" t="s">
        <v>52</v>
      </c>
      <c r="C46" s="64">
        <f>'National CEA estimate'!G23</f>
        <v>0.81103448275862067</v>
      </c>
      <c r="D46" s="64">
        <f>'National CEA estimate'!H23</f>
        <v>0.79751724137931035</v>
      </c>
      <c r="E46" s="64">
        <f>'National CEA estimate'!I23</f>
        <v>0.78400000000000003</v>
      </c>
      <c r="F46" s="98"/>
      <c r="G46" s="98"/>
      <c r="H46" s="98"/>
      <c r="I46" s="64">
        <f>'National CEA estimate'!M23</f>
        <v>0.8735593220338983</v>
      </c>
      <c r="J46" s="64">
        <f>'National CEA estimate'!N23</f>
        <v>0.85899999999999999</v>
      </c>
      <c r="K46" s="64">
        <f>'National CEA estimate'!O23</f>
        <v>0.748</v>
      </c>
      <c r="L46" s="63">
        <f>'National CEA estimate'!P23</f>
        <v>0.46551724137931033</v>
      </c>
      <c r="M46" s="63">
        <f>'National CEA estimate'!Q23</f>
        <v>0.45775862068965517</v>
      </c>
      <c r="N46" s="64">
        <f>'National CEA estimate'!R23</f>
        <v>0.45</v>
      </c>
    </row>
    <row r="47" spans="1:29" ht="12.75" x14ac:dyDescent="0.2">
      <c r="A47" s="73" t="s">
        <v>55</v>
      </c>
      <c r="C47" s="64">
        <f>'National CEA estimate'!G24</f>
        <v>0.81103448275862067</v>
      </c>
      <c r="D47" s="64">
        <f>'National CEA estimate'!H24</f>
        <v>0.79751724137931035</v>
      </c>
      <c r="E47" s="64">
        <f>'National CEA estimate'!I24</f>
        <v>0.78400000000000003</v>
      </c>
      <c r="F47" s="98"/>
      <c r="G47" s="98"/>
      <c r="H47" s="98"/>
      <c r="I47" s="64">
        <f>'National CEA estimate'!M24</f>
        <v>0.8735593220338983</v>
      </c>
      <c r="J47" s="64">
        <f>'National CEA estimate'!N24</f>
        <v>0.85899999999999999</v>
      </c>
      <c r="K47" s="64">
        <f>'National CEA estimate'!O24</f>
        <v>0.748</v>
      </c>
      <c r="L47" s="63">
        <f>'National CEA estimate'!P24</f>
        <v>0.46551724137931033</v>
      </c>
      <c r="M47" s="63">
        <f>'National CEA estimate'!Q24</f>
        <v>0.45775862068965517</v>
      </c>
      <c r="N47" s="64">
        <f>'National CEA estimate'!R24</f>
        <v>0.45</v>
      </c>
    </row>
    <row r="48" spans="1:29" ht="12.75" x14ac:dyDescent="0.2">
      <c r="A48" s="35" t="s">
        <v>62</v>
      </c>
      <c r="C48" s="64">
        <f>'National CEA estimate'!G25</f>
        <v>0.81103448275862067</v>
      </c>
      <c r="D48" s="64">
        <f>'National CEA estimate'!H25</f>
        <v>0.79751724137931035</v>
      </c>
      <c r="E48" s="64">
        <f>'National CEA estimate'!I25</f>
        <v>0.78400000000000003</v>
      </c>
      <c r="F48" s="98"/>
      <c r="G48" s="98"/>
      <c r="H48" s="98"/>
      <c r="I48" s="64">
        <f>'National CEA estimate'!M25</f>
        <v>0.8735593220338983</v>
      </c>
      <c r="J48" s="64">
        <f>'National CEA estimate'!N25</f>
        <v>0.85899999999999999</v>
      </c>
      <c r="K48" s="64">
        <f>'National CEA estimate'!O25</f>
        <v>0.748</v>
      </c>
      <c r="L48" s="63">
        <f>'National CEA estimate'!P25</f>
        <v>0.9</v>
      </c>
      <c r="M48" s="63">
        <f>'National CEA estimate'!Q25</f>
        <v>0.88500000000000001</v>
      </c>
      <c r="N48" s="64">
        <f>'National CEA estimate'!R25</f>
        <v>0.87</v>
      </c>
    </row>
    <row r="49" spans="1:29" ht="12.75" x14ac:dyDescent="0.2">
      <c r="A49" s="29" t="s">
        <v>70</v>
      </c>
      <c r="C49" s="64">
        <f>'National CEA estimate'!G26</f>
        <v>0</v>
      </c>
      <c r="D49" s="64">
        <f>'National CEA estimate'!H26</f>
        <v>0</v>
      </c>
      <c r="E49" s="64">
        <f>'National CEA estimate'!I26</f>
        <v>0</v>
      </c>
      <c r="F49" s="98"/>
      <c r="G49" s="98"/>
      <c r="H49" s="98"/>
      <c r="I49" s="64">
        <f>'National CEA estimate'!M26</f>
        <v>0</v>
      </c>
      <c r="J49" s="64">
        <f>'National CEA estimate'!N26</f>
        <v>0</v>
      </c>
      <c r="K49" s="64">
        <f>'National CEA estimate'!O26</f>
        <v>0</v>
      </c>
      <c r="L49" s="63">
        <f>'National CEA estimate'!P26</f>
        <v>0</v>
      </c>
      <c r="M49" s="63">
        <f>'National CEA estimate'!Q26</f>
        <v>0</v>
      </c>
      <c r="N49" s="64">
        <f>'National CEA estimate'!R26</f>
        <v>0</v>
      </c>
    </row>
    <row r="50" spans="1:29" ht="12.75" x14ac:dyDescent="0.2">
      <c r="A50" s="35" t="s">
        <v>88</v>
      </c>
      <c r="C50" s="64">
        <f>'National CEA estimate'!G27</f>
        <v>0</v>
      </c>
      <c r="D50" s="64">
        <f>'National CEA estimate'!H27</f>
        <v>0</v>
      </c>
      <c r="E50" s="64">
        <f>'National CEA estimate'!I27</f>
        <v>0</v>
      </c>
      <c r="F50" s="98"/>
      <c r="G50" s="98"/>
      <c r="H50" s="98"/>
      <c r="I50" s="64">
        <f>'National CEA estimate'!M27</f>
        <v>0</v>
      </c>
      <c r="J50" s="64">
        <f>'National CEA estimate'!N27</f>
        <v>0</v>
      </c>
      <c r="K50" s="64">
        <f>'National CEA estimate'!O27</f>
        <v>0</v>
      </c>
      <c r="L50" s="63">
        <f>'National CEA estimate'!P27</f>
        <v>0</v>
      </c>
      <c r="M50" s="63">
        <f>'National CEA estimate'!Q27</f>
        <v>0</v>
      </c>
      <c r="N50" s="64">
        <f>'National CEA estimate'!R27</f>
        <v>0</v>
      </c>
    </row>
    <row r="51" spans="1:29" ht="12.75" x14ac:dyDescent="0.2">
      <c r="A51" s="35" t="s">
        <v>104</v>
      </c>
      <c r="C51" s="64">
        <f>'National CEA estimate'!G28</f>
        <v>0</v>
      </c>
      <c r="D51" s="64">
        <f>'National CEA estimate'!H28</f>
        <v>0</v>
      </c>
      <c r="E51" s="64">
        <f>'National CEA estimate'!I28</f>
        <v>0</v>
      </c>
      <c r="F51" s="98"/>
      <c r="G51" s="98"/>
      <c r="H51" s="98"/>
      <c r="I51" s="64">
        <f>'National CEA estimate'!M28</f>
        <v>0</v>
      </c>
      <c r="J51" s="64">
        <f>'National CEA estimate'!N28</f>
        <v>0</v>
      </c>
      <c r="K51" s="64">
        <f>'National CEA estimate'!O28</f>
        <v>0</v>
      </c>
      <c r="L51" s="63">
        <f>'National CEA estimate'!P28</f>
        <v>0</v>
      </c>
      <c r="M51" s="63">
        <f>'National CEA estimate'!Q28</f>
        <v>0</v>
      </c>
      <c r="N51" s="64">
        <f>'National CEA estimate'!R28</f>
        <v>0</v>
      </c>
    </row>
    <row r="52" spans="1:29" ht="12.75" x14ac:dyDescent="0.2">
      <c r="A52" s="35" t="s">
        <v>107</v>
      </c>
      <c r="C52" s="64">
        <f>'National CEA estimate'!G29</f>
        <v>0</v>
      </c>
      <c r="D52" s="64">
        <f>'National CEA estimate'!H29</f>
        <v>0</v>
      </c>
      <c r="E52" s="64">
        <f>'National CEA estimate'!I29</f>
        <v>0</v>
      </c>
      <c r="F52" s="98"/>
      <c r="G52" s="98"/>
      <c r="H52" s="98"/>
      <c r="I52" s="64">
        <f>'National CEA estimate'!M29</f>
        <v>0</v>
      </c>
      <c r="J52" s="64">
        <f>'National CEA estimate'!N29</f>
        <v>0</v>
      </c>
      <c r="K52" s="64">
        <f>'National CEA estimate'!O29</f>
        <v>0</v>
      </c>
      <c r="L52" s="63">
        <f>'National CEA estimate'!P29</f>
        <v>0</v>
      </c>
      <c r="M52" s="63">
        <f>'National CEA estimate'!Q29</f>
        <v>0</v>
      </c>
      <c r="N52" s="64">
        <f>'National CEA estimate'!R29</f>
        <v>0</v>
      </c>
    </row>
    <row r="53" spans="1:29" ht="12.75" x14ac:dyDescent="0.2">
      <c r="A53" s="35" t="s">
        <v>95</v>
      </c>
      <c r="C53" s="64">
        <f>'National CEA estimate'!G30</f>
        <v>0</v>
      </c>
      <c r="D53" s="64">
        <f>'National CEA estimate'!H30</f>
        <v>0</v>
      </c>
      <c r="E53" s="64">
        <f>'National CEA estimate'!I30</f>
        <v>0</v>
      </c>
      <c r="F53" s="98"/>
      <c r="G53" s="98"/>
      <c r="H53" s="98"/>
      <c r="I53" s="64">
        <f>'National CEA estimate'!M30</f>
        <v>0</v>
      </c>
      <c r="J53" s="64">
        <f>'National CEA estimate'!N30</f>
        <v>0</v>
      </c>
      <c r="K53" s="64">
        <f>'National CEA estimate'!O30</f>
        <v>0</v>
      </c>
      <c r="L53" s="63">
        <f>'National CEA estimate'!P30</f>
        <v>0</v>
      </c>
      <c r="M53" s="63">
        <f>'National CEA estimate'!Q30</f>
        <v>0</v>
      </c>
      <c r="N53" s="64">
        <f>'National CEA estimate'!R30</f>
        <v>0</v>
      </c>
    </row>
    <row r="54" spans="1:29" ht="12.75" x14ac:dyDescent="0.2">
      <c r="A54" s="35" t="s">
        <v>98</v>
      </c>
      <c r="C54" s="64">
        <f>'National CEA estimate'!G31</f>
        <v>0.60199999999999998</v>
      </c>
      <c r="D54" s="64">
        <f>'National CEA estimate'!H31</f>
        <v>0</v>
      </c>
      <c r="E54" s="64">
        <f>'National CEA estimate'!I31</f>
        <v>0</v>
      </c>
      <c r="F54" s="98"/>
      <c r="G54" s="98"/>
      <c r="H54" s="98"/>
      <c r="I54" s="64">
        <f>'National CEA estimate'!M31</f>
        <v>0.45200000000000001</v>
      </c>
      <c r="J54" s="64">
        <f>'National CEA estimate'!N31</f>
        <v>0</v>
      </c>
      <c r="K54" s="64">
        <f>'National CEA estimate'!O31</f>
        <v>0</v>
      </c>
      <c r="L54" s="63">
        <f>'National CEA estimate'!P31</f>
        <v>0</v>
      </c>
      <c r="M54" s="63">
        <f>'National CEA estimate'!Q31</f>
        <v>0</v>
      </c>
      <c r="N54" s="64">
        <f>'National CEA estimate'!R31</f>
        <v>0</v>
      </c>
    </row>
    <row r="55" spans="1:29" ht="12.75" x14ac:dyDescent="0.2">
      <c r="F55" s="98"/>
      <c r="G55" s="98"/>
      <c r="H55" s="98"/>
      <c r="I55" s="98"/>
      <c r="J55" s="98"/>
      <c r="K55" s="98"/>
      <c r="L55" s="98"/>
      <c r="M55" s="98"/>
      <c r="N55" s="98"/>
    </row>
    <row r="56" spans="1:29" ht="12.75" x14ac:dyDescent="0.2">
      <c r="A56" s="6" t="s">
        <v>181</v>
      </c>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1:29" ht="25.5" x14ac:dyDescent="0.2">
      <c r="A57" s="100" t="s">
        <v>182</v>
      </c>
      <c r="E57" s="98">
        <f>'Study results - Gap Reduced'!X8</f>
        <v>0.34912193021260252</v>
      </c>
    </row>
    <row r="58" spans="1:29" ht="12.75" x14ac:dyDescent="0.2">
      <c r="A58" s="1"/>
    </row>
    <row r="59" spans="1:29" ht="12.75" x14ac:dyDescent="0.2">
      <c r="A59" s="6" t="s">
        <v>117</v>
      </c>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1:29" ht="25.5" x14ac:dyDescent="0.2">
      <c r="A60" s="100" t="s">
        <v>183</v>
      </c>
      <c r="E60" s="64">
        <f>'National CEA estimate'!C41</f>
        <v>0.4979329612426816</v>
      </c>
    </row>
    <row r="61" spans="1:29" ht="25.5" hidden="1" x14ac:dyDescent="0.2">
      <c r="A61" s="100" t="s">
        <v>122</v>
      </c>
      <c r="E61" s="64"/>
    </row>
    <row r="62" spans="1:29" ht="12.75" x14ac:dyDescent="0.2">
      <c r="A62" s="100" t="s">
        <v>124</v>
      </c>
      <c r="E62" s="64">
        <f>'National CEA estimate'!C43</f>
        <v>0.8</v>
      </c>
    </row>
    <row r="63" spans="1:29" ht="12.75" x14ac:dyDescent="0.2">
      <c r="A63" s="100"/>
      <c r="E63" s="64"/>
    </row>
    <row r="64" spans="1:29" ht="25.5" x14ac:dyDescent="0.2">
      <c r="A64" s="12" t="s">
        <v>184</v>
      </c>
      <c r="B64" s="111"/>
      <c r="C64" s="111"/>
      <c r="D64" s="111"/>
      <c r="E64" s="111"/>
      <c r="F64" s="137"/>
      <c r="G64" s="137"/>
      <c r="H64" s="137"/>
      <c r="I64" s="137"/>
      <c r="J64" s="137"/>
      <c r="K64" s="137"/>
      <c r="L64" s="137"/>
      <c r="M64" s="137"/>
      <c r="N64" s="137"/>
      <c r="O64" s="111"/>
      <c r="P64" s="111"/>
      <c r="Q64" s="111"/>
      <c r="R64" s="111"/>
      <c r="S64" s="111"/>
      <c r="T64" s="111"/>
      <c r="U64" s="111"/>
      <c r="V64" s="111"/>
      <c r="W64" s="111"/>
      <c r="X64" s="111"/>
      <c r="Y64" s="111"/>
      <c r="Z64" s="111"/>
      <c r="AA64" s="111"/>
      <c r="AB64" s="111"/>
      <c r="AC64" s="111"/>
    </row>
    <row r="65" spans="1:29" ht="38.25" x14ac:dyDescent="0.2">
      <c r="A65" s="27"/>
      <c r="B65" s="27"/>
      <c r="C65" s="26" t="s">
        <v>185</v>
      </c>
      <c r="D65" s="26" t="s">
        <v>186</v>
      </c>
      <c r="E65" s="26" t="s">
        <v>187</v>
      </c>
      <c r="F65" s="138" t="s">
        <v>188</v>
      </c>
      <c r="G65" s="26" t="s">
        <v>189</v>
      </c>
      <c r="H65" s="26" t="s">
        <v>190</v>
      </c>
      <c r="I65" s="138" t="s">
        <v>191</v>
      </c>
      <c r="J65" s="26" t="s">
        <v>192</v>
      </c>
      <c r="K65" s="26" t="s">
        <v>193</v>
      </c>
      <c r="L65" s="138" t="s">
        <v>194</v>
      </c>
      <c r="M65" s="26" t="s">
        <v>195</v>
      </c>
      <c r="N65" s="26" t="s">
        <v>196</v>
      </c>
      <c r="O65" s="138" t="s">
        <v>198</v>
      </c>
      <c r="P65" s="26" t="s">
        <v>199</v>
      </c>
      <c r="Q65" s="26" t="s">
        <v>200</v>
      </c>
      <c r="R65" s="138" t="s">
        <v>207</v>
      </c>
      <c r="S65" s="26" t="s">
        <v>208</v>
      </c>
      <c r="T65" s="26" t="s">
        <v>209</v>
      </c>
      <c r="U65" s="138" t="s">
        <v>210</v>
      </c>
      <c r="V65" s="26" t="s">
        <v>211</v>
      </c>
      <c r="W65" s="26" t="s">
        <v>212</v>
      </c>
      <c r="X65" s="138" t="s">
        <v>213</v>
      </c>
      <c r="Y65" s="26" t="s">
        <v>214</v>
      </c>
      <c r="Z65" s="26" t="s">
        <v>215</v>
      </c>
      <c r="AA65" s="27"/>
      <c r="AB65" s="27"/>
      <c r="AC65" s="27"/>
    </row>
    <row r="66" spans="1:29" ht="12.75" x14ac:dyDescent="0.2">
      <c r="A66" s="29" t="s">
        <v>40</v>
      </c>
      <c r="C66" s="98">
        <f>E66/(N42/L42)</f>
        <v>0.86586206896551721</v>
      </c>
      <c r="D66" s="98">
        <f>(C66-E66)/2 + E66</f>
        <v>0.85143103448275859</v>
      </c>
      <c r="E66" s="94">
        <v>0.83699999999999997</v>
      </c>
      <c r="F66" s="141">
        <f>1-(((1-G66)/(1-H66)) * (1-G66))</f>
        <v>0.97133333333333338</v>
      </c>
      <c r="G66" s="94">
        <v>0.91400000000000003</v>
      </c>
      <c r="H66" s="94">
        <v>0.74199999999999999</v>
      </c>
      <c r="I66" s="141">
        <f>K66/(N42/L42)</f>
        <v>0.92586206896551726</v>
      </c>
      <c r="J66" s="98">
        <f>(I66-K66)/2 + K66</f>
        <v>0.91043103448275864</v>
      </c>
      <c r="K66" s="94">
        <v>0.89500000000000002</v>
      </c>
      <c r="L66" s="141">
        <f>1-(((1-M66)/(1-N66)) * (1-M66))</f>
        <v>0.94886413043478268</v>
      </c>
      <c r="M66" s="94">
        <v>0.90300000000000002</v>
      </c>
      <c r="N66" s="94">
        <v>0.81599999999999995</v>
      </c>
      <c r="O66" s="141">
        <f>Q66/(N42/L42)</f>
        <v>0.75206896551724134</v>
      </c>
      <c r="P66" s="98">
        <f>(O66-Q66)/2 + Q66</f>
        <v>0.73953448275862066</v>
      </c>
      <c r="Q66" s="94">
        <v>0.72699999999999998</v>
      </c>
      <c r="R66" s="141">
        <f>1-(((1-S66)/(1-T66)) * (1-S66))</f>
        <v>0.90600000000000003</v>
      </c>
      <c r="S66" s="94">
        <v>0.81200000000000006</v>
      </c>
      <c r="T66" s="94">
        <v>0.624</v>
      </c>
      <c r="U66" s="141">
        <f>W66/(N42/L42)</f>
        <v>0.74068965517241381</v>
      </c>
      <c r="V66" s="98">
        <f>(U66-W66)/2 + W66</f>
        <v>0.72834482758620689</v>
      </c>
      <c r="W66" s="94">
        <v>0.71599999999999997</v>
      </c>
      <c r="X66" s="141">
        <f>1-(((1-Y66)/(1-Z66)) * (1-Y66))</f>
        <v>0.87587878787878792</v>
      </c>
      <c r="Y66" s="94">
        <v>0.80800000000000005</v>
      </c>
      <c r="Z66" s="94">
        <v>0.70299999999999996</v>
      </c>
    </row>
    <row r="67" spans="1:29" ht="12.75" x14ac:dyDescent="0.2">
      <c r="A67" s="35" t="s">
        <v>89</v>
      </c>
      <c r="C67" s="98">
        <f t="shared" ref="C67:Z67" si="10">C66</f>
        <v>0.86586206896551721</v>
      </c>
      <c r="D67" s="98">
        <f t="shared" si="10"/>
        <v>0.85143103448275859</v>
      </c>
      <c r="E67" s="98">
        <f t="shared" si="10"/>
        <v>0.83699999999999997</v>
      </c>
      <c r="F67" s="141">
        <f t="shared" si="10"/>
        <v>0.97133333333333338</v>
      </c>
      <c r="G67" s="98">
        <f t="shared" si="10"/>
        <v>0.91400000000000003</v>
      </c>
      <c r="H67" s="98">
        <f t="shared" si="10"/>
        <v>0.74199999999999999</v>
      </c>
      <c r="I67" s="141">
        <f t="shared" si="10"/>
        <v>0.92586206896551726</v>
      </c>
      <c r="J67" s="98">
        <f t="shared" si="10"/>
        <v>0.91043103448275864</v>
      </c>
      <c r="K67" s="98">
        <f t="shared" si="10"/>
        <v>0.89500000000000002</v>
      </c>
      <c r="L67" s="141">
        <f t="shared" si="10"/>
        <v>0.94886413043478268</v>
      </c>
      <c r="M67" s="98">
        <f t="shared" si="10"/>
        <v>0.90300000000000002</v>
      </c>
      <c r="N67" s="98">
        <f t="shared" si="10"/>
        <v>0.81599999999999995</v>
      </c>
      <c r="O67" s="141">
        <f t="shared" si="10"/>
        <v>0.75206896551724134</v>
      </c>
      <c r="P67" s="98">
        <f t="shared" si="10"/>
        <v>0.73953448275862066</v>
      </c>
      <c r="Q67" s="98">
        <f t="shared" si="10"/>
        <v>0.72699999999999998</v>
      </c>
      <c r="R67" s="141">
        <f t="shared" si="10"/>
        <v>0.90600000000000003</v>
      </c>
      <c r="S67" s="98">
        <f t="shared" si="10"/>
        <v>0.81200000000000006</v>
      </c>
      <c r="T67" s="98">
        <f t="shared" si="10"/>
        <v>0.624</v>
      </c>
      <c r="U67" s="141">
        <f t="shared" si="10"/>
        <v>0.74068965517241381</v>
      </c>
      <c r="V67" s="98">
        <f t="shared" si="10"/>
        <v>0.72834482758620689</v>
      </c>
      <c r="W67" s="98">
        <f t="shared" si="10"/>
        <v>0.71599999999999997</v>
      </c>
      <c r="X67" s="141">
        <f t="shared" si="10"/>
        <v>0.87587878787878792</v>
      </c>
      <c r="Y67" s="98">
        <f t="shared" si="10"/>
        <v>0.80800000000000005</v>
      </c>
      <c r="Z67" s="98">
        <f t="shared" si="10"/>
        <v>0.70299999999999996</v>
      </c>
    </row>
    <row r="68" spans="1:29" ht="12.75" x14ac:dyDescent="0.2">
      <c r="A68" s="29" t="s">
        <v>44</v>
      </c>
      <c r="C68" s="98">
        <f t="shared" ref="C68:Z68" si="11">C66</f>
        <v>0.86586206896551721</v>
      </c>
      <c r="D68" s="98">
        <f t="shared" si="11"/>
        <v>0.85143103448275859</v>
      </c>
      <c r="E68" s="98">
        <f t="shared" si="11"/>
        <v>0.83699999999999997</v>
      </c>
      <c r="F68" s="141">
        <f t="shared" si="11"/>
        <v>0.97133333333333338</v>
      </c>
      <c r="G68" s="98">
        <f t="shared" si="11"/>
        <v>0.91400000000000003</v>
      </c>
      <c r="H68" s="98">
        <f t="shared" si="11"/>
        <v>0.74199999999999999</v>
      </c>
      <c r="I68" s="141">
        <f t="shared" si="11"/>
        <v>0.92586206896551726</v>
      </c>
      <c r="J68" s="98">
        <f t="shared" si="11"/>
        <v>0.91043103448275864</v>
      </c>
      <c r="K68" s="98">
        <f t="shared" si="11"/>
        <v>0.89500000000000002</v>
      </c>
      <c r="L68" s="141">
        <f t="shared" si="11"/>
        <v>0.94886413043478268</v>
      </c>
      <c r="M68" s="98">
        <f t="shared" si="11"/>
        <v>0.90300000000000002</v>
      </c>
      <c r="N68" s="98">
        <f t="shared" si="11"/>
        <v>0.81599999999999995</v>
      </c>
      <c r="O68" s="141">
        <f t="shared" si="11"/>
        <v>0.75206896551724134</v>
      </c>
      <c r="P68" s="98">
        <f t="shared" si="11"/>
        <v>0.73953448275862066</v>
      </c>
      <c r="Q68" s="98">
        <f t="shared" si="11"/>
        <v>0.72699999999999998</v>
      </c>
      <c r="R68" s="141">
        <f t="shared" si="11"/>
        <v>0.90600000000000003</v>
      </c>
      <c r="S68" s="98">
        <f t="shared" si="11"/>
        <v>0.81200000000000006</v>
      </c>
      <c r="T68" s="98">
        <f t="shared" si="11"/>
        <v>0.624</v>
      </c>
      <c r="U68" s="141">
        <f t="shared" si="11"/>
        <v>0.74068965517241381</v>
      </c>
      <c r="V68" s="98">
        <f t="shared" si="11"/>
        <v>0.72834482758620689</v>
      </c>
      <c r="W68" s="98">
        <f t="shared" si="11"/>
        <v>0.71599999999999997</v>
      </c>
      <c r="X68" s="141">
        <f t="shared" si="11"/>
        <v>0.87587878787878792</v>
      </c>
      <c r="Y68" s="98">
        <f t="shared" si="11"/>
        <v>0.80800000000000005</v>
      </c>
      <c r="Z68" s="98">
        <f t="shared" si="11"/>
        <v>0.70299999999999996</v>
      </c>
    </row>
    <row r="69" spans="1:29" ht="12.75" x14ac:dyDescent="0.2">
      <c r="A69" s="29" t="s">
        <v>48</v>
      </c>
      <c r="C69" s="94">
        <v>0.90500000000000003</v>
      </c>
      <c r="D69" s="94">
        <f>(M45/L45) * C69</f>
        <v>0.71775862068965512</v>
      </c>
      <c r="F69" s="143">
        <v>0.84499999999999997</v>
      </c>
      <c r="G69" s="98">
        <f>1-((1-M45)/(1-L45)) * (1-F69)</f>
        <v>0.63038461538461532</v>
      </c>
      <c r="H69" s="98"/>
      <c r="I69" s="143">
        <v>0.91800000000000004</v>
      </c>
      <c r="J69" s="98">
        <f>(M45/L45) * I69</f>
        <v>0.72806896551724132</v>
      </c>
      <c r="K69" s="98"/>
      <c r="L69" s="143">
        <v>0.86699999999999999</v>
      </c>
      <c r="M69" s="98">
        <f>1-((1-M45)/(1-L45)) * (1-L69)</f>
        <v>0.68284615384615377</v>
      </c>
      <c r="N69" s="98"/>
      <c r="O69" s="143">
        <v>0.75</v>
      </c>
      <c r="P69" s="98">
        <f>(M45/L45) * O69</f>
        <v>0.59482758620689646</v>
      </c>
      <c r="R69" s="143">
        <v>0.80500000000000005</v>
      </c>
      <c r="S69" s="98">
        <f>1-((1-M45)/(1-L45)) * (1-R69)</f>
        <v>0.53500000000000003</v>
      </c>
      <c r="U69" s="143">
        <v>0.78100000000000003</v>
      </c>
      <c r="V69" s="98">
        <f>(M45/L45) * U69</f>
        <v>0.61941379310344824</v>
      </c>
      <c r="X69" s="143">
        <v>0.64100000000000001</v>
      </c>
      <c r="Y69" s="98">
        <f>1-((1-M45)/(1-L45)) * (1-X69)</f>
        <v>0.14392307692307682</v>
      </c>
    </row>
    <row r="70" spans="1:29" ht="12.75" x14ac:dyDescent="0.2">
      <c r="A70" s="35" t="s">
        <v>52</v>
      </c>
      <c r="C70" s="98">
        <f t="shared" ref="C70:Z70" si="12">C66</f>
        <v>0.86586206896551721</v>
      </c>
      <c r="D70" s="98">
        <f t="shared" si="12"/>
        <v>0.85143103448275859</v>
      </c>
      <c r="E70" s="144">
        <f t="shared" si="12"/>
        <v>0.83699999999999997</v>
      </c>
      <c r="F70" s="141">
        <f t="shared" si="12"/>
        <v>0.97133333333333338</v>
      </c>
      <c r="G70" s="98">
        <f t="shared" si="12"/>
        <v>0.91400000000000003</v>
      </c>
      <c r="H70" s="98">
        <f t="shared" si="12"/>
        <v>0.74199999999999999</v>
      </c>
      <c r="I70" s="141">
        <f t="shared" si="12"/>
        <v>0.92586206896551726</v>
      </c>
      <c r="J70" s="98">
        <f t="shared" si="12"/>
        <v>0.91043103448275864</v>
      </c>
      <c r="K70" s="144">
        <f t="shared" si="12"/>
        <v>0.89500000000000002</v>
      </c>
      <c r="L70" s="141">
        <f t="shared" si="12"/>
        <v>0.94886413043478268</v>
      </c>
      <c r="M70" s="98">
        <f t="shared" si="12"/>
        <v>0.90300000000000002</v>
      </c>
      <c r="N70" s="98">
        <f t="shared" si="12"/>
        <v>0.81599999999999995</v>
      </c>
      <c r="O70" s="141">
        <f t="shared" si="12"/>
        <v>0.75206896551724134</v>
      </c>
      <c r="P70" s="98">
        <f t="shared" si="12"/>
        <v>0.73953448275862066</v>
      </c>
      <c r="Q70" s="98">
        <f t="shared" si="12"/>
        <v>0.72699999999999998</v>
      </c>
      <c r="R70" s="141">
        <f t="shared" si="12"/>
        <v>0.90600000000000003</v>
      </c>
      <c r="S70" s="98">
        <f t="shared" si="12"/>
        <v>0.81200000000000006</v>
      </c>
      <c r="T70" s="98">
        <f t="shared" si="12"/>
        <v>0.624</v>
      </c>
      <c r="U70" s="141">
        <f t="shared" si="12"/>
        <v>0.74068965517241381</v>
      </c>
      <c r="V70" s="98">
        <f t="shared" si="12"/>
        <v>0.72834482758620689</v>
      </c>
      <c r="W70" s="98">
        <f t="shared" si="12"/>
        <v>0.71599999999999997</v>
      </c>
      <c r="X70" s="141">
        <f t="shared" si="12"/>
        <v>0.87587878787878792</v>
      </c>
      <c r="Y70" s="98">
        <f t="shared" si="12"/>
        <v>0.80800000000000005</v>
      </c>
      <c r="Z70" s="98">
        <f t="shared" si="12"/>
        <v>0.70299999999999996</v>
      </c>
    </row>
    <row r="71" spans="1:29" ht="12.75" x14ac:dyDescent="0.2">
      <c r="A71" s="35" t="s">
        <v>55</v>
      </c>
      <c r="C71" s="98">
        <f t="shared" ref="C71:Z71" si="13">C70</f>
        <v>0.86586206896551721</v>
      </c>
      <c r="D71" s="98">
        <f t="shared" si="13"/>
        <v>0.85143103448275859</v>
      </c>
      <c r="E71" s="98">
        <f t="shared" si="13"/>
        <v>0.83699999999999997</v>
      </c>
      <c r="F71" s="141">
        <f t="shared" si="13"/>
        <v>0.97133333333333338</v>
      </c>
      <c r="G71" s="98">
        <f t="shared" si="13"/>
        <v>0.91400000000000003</v>
      </c>
      <c r="H71" s="98">
        <f t="shared" si="13"/>
        <v>0.74199999999999999</v>
      </c>
      <c r="I71" s="141">
        <f t="shared" si="13"/>
        <v>0.92586206896551726</v>
      </c>
      <c r="J71" s="98">
        <f t="shared" si="13"/>
        <v>0.91043103448275864</v>
      </c>
      <c r="K71" s="98">
        <f t="shared" si="13"/>
        <v>0.89500000000000002</v>
      </c>
      <c r="L71" s="141">
        <f t="shared" si="13"/>
        <v>0.94886413043478268</v>
      </c>
      <c r="M71" s="98">
        <f t="shared" si="13"/>
        <v>0.90300000000000002</v>
      </c>
      <c r="N71" s="98">
        <f t="shared" si="13"/>
        <v>0.81599999999999995</v>
      </c>
      <c r="O71" s="141">
        <f t="shared" si="13"/>
        <v>0.75206896551724134</v>
      </c>
      <c r="P71" s="98">
        <f t="shared" si="13"/>
        <v>0.73953448275862066</v>
      </c>
      <c r="Q71" s="98">
        <f t="shared" si="13"/>
        <v>0.72699999999999998</v>
      </c>
      <c r="R71" s="141">
        <f t="shared" si="13"/>
        <v>0.90600000000000003</v>
      </c>
      <c r="S71" s="98">
        <f t="shared" si="13"/>
        <v>0.81200000000000006</v>
      </c>
      <c r="T71" s="98">
        <f t="shared" si="13"/>
        <v>0.624</v>
      </c>
      <c r="U71" s="141">
        <f t="shared" si="13"/>
        <v>0.74068965517241381</v>
      </c>
      <c r="V71" s="98">
        <f t="shared" si="13"/>
        <v>0.72834482758620689</v>
      </c>
      <c r="W71" s="98">
        <f t="shared" si="13"/>
        <v>0.71599999999999997</v>
      </c>
      <c r="X71" s="141">
        <f t="shared" si="13"/>
        <v>0.87587878787878792</v>
      </c>
      <c r="Y71" s="98">
        <f t="shared" si="13"/>
        <v>0.80800000000000005</v>
      </c>
      <c r="Z71" s="98">
        <f t="shared" si="13"/>
        <v>0.70299999999999996</v>
      </c>
    </row>
    <row r="72" spans="1:29" ht="12.75" x14ac:dyDescent="0.2">
      <c r="A72" s="35" t="s">
        <v>62</v>
      </c>
      <c r="C72" s="98">
        <f t="shared" ref="C72:Z72" si="14">C66</f>
        <v>0.86586206896551721</v>
      </c>
      <c r="D72" s="98">
        <f t="shared" si="14"/>
        <v>0.85143103448275859</v>
      </c>
      <c r="E72" s="94">
        <f t="shared" si="14"/>
        <v>0.83699999999999997</v>
      </c>
      <c r="F72" s="141">
        <f t="shared" si="14"/>
        <v>0.97133333333333338</v>
      </c>
      <c r="G72" s="98">
        <f t="shared" si="14"/>
        <v>0.91400000000000003</v>
      </c>
      <c r="H72" s="98">
        <f t="shared" si="14"/>
        <v>0.74199999999999999</v>
      </c>
      <c r="I72" s="141">
        <f t="shared" si="14"/>
        <v>0.92586206896551726</v>
      </c>
      <c r="J72" s="98">
        <f t="shared" si="14"/>
        <v>0.91043103448275864</v>
      </c>
      <c r="K72" s="94">
        <f t="shared" si="14"/>
        <v>0.89500000000000002</v>
      </c>
      <c r="L72" s="141">
        <f t="shared" si="14"/>
        <v>0.94886413043478268</v>
      </c>
      <c r="M72" s="98">
        <f t="shared" si="14"/>
        <v>0.90300000000000002</v>
      </c>
      <c r="N72" s="98">
        <f t="shared" si="14"/>
        <v>0.81599999999999995</v>
      </c>
      <c r="O72" s="141">
        <f t="shared" si="14"/>
        <v>0.75206896551724134</v>
      </c>
      <c r="P72" s="98">
        <f t="shared" si="14"/>
        <v>0.73953448275862066</v>
      </c>
      <c r="Q72" s="98">
        <f t="shared" si="14"/>
        <v>0.72699999999999998</v>
      </c>
      <c r="R72" s="141">
        <f t="shared" si="14"/>
        <v>0.90600000000000003</v>
      </c>
      <c r="S72" s="98">
        <f t="shared" si="14"/>
        <v>0.81200000000000006</v>
      </c>
      <c r="T72" s="98">
        <f t="shared" si="14"/>
        <v>0.624</v>
      </c>
      <c r="U72" s="141">
        <f t="shared" si="14"/>
        <v>0.74068965517241381</v>
      </c>
      <c r="V72" s="98">
        <f t="shared" si="14"/>
        <v>0.72834482758620689</v>
      </c>
      <c r="W72" s="98">
        <f t="shared" si="14"/>
        <v>0.71599999999999997</v>
      </c>
      <c r="X72" s="141">
        <f t="shared" si="14"/>
        <v>0.87587878787878792</v>
      </c>
      <c r="Y72" s="98">
        <f t="shared" si="14"/>
        <v>0.80800000000000005</v>
      </c>
      <c r="Z72" s="98">
        <f t="shared" si="14"/>
        <v>0.70299999999999996</v>
      </c>
    </row>
    <row r="73" spans="1:29" ht="12.75" x14ac:dyDescent="0.2">
      <c r="A73" s="29" t="s">
        <v>70</v>
      </c>
      <c r="C73" s="98">
        <f>D69</f>
        <v>0.71775862068965512</v>
      </c>
      <c r="F73" s="141">
        <f>G69</f>
        <v>0.63038461538461532</v>
      </c>
      <c r="G73" s="98"/>
      <c r="H73" s="98"/>
      <c r="I73" s="141"/>
      <c r="J73" s="98"/>
      <c r="K73" s="98"/>
      <c r="L73" s="141"/>
      <c r="M73" s="98"/>
      <c r="N73" s="98"/>
      <c r="O73" s="13"/>
      <c r="R73" s="13"/>
      <c r="U73" s="13"/>
      <c r="X73" s="13"/>
    </row>
    <row r="74" spans="1:29" ht="12.75" x14ac:dyDescent="0.2">
      <c r="A74" s="35" t="s">
        <v>88</v>
      </c>
      <c r="F74" s="141"/>
      <c r="G74" s="98"/>
      <c r="H74" s="98"/>
      <c r="I74" s="141"/>
      <c r="J74" s="98"/>
      <c r="K74" s="98"/>
      <c r="L74" s="141"/>
      <c r="M74" s="98"/>
      <c r="N74" s="98"/>
      <c r="O74" s="13"/>
      <c r="R74" s="13"/>
      <c r="U74" s="13"/>
      <c r="X74" s="13"/>
    </row>
    <row r="75" spans="1:29" ht="12.75" x14ac:dyDescent="0.2">
      <c r="A75" s="35" t="s">
        <v>91</v>
      </c>
      <c r="F75" s="141"/>
      <c r="G75" s="98"/>
      <c r="H75" s="98"/>
      <c r="I75" s="141"/>
      <c r="J75" s="98"/>
      <c r="K75" s="98"/>
      <c r="L75" s="141"/>
      <c r="M75" s="98"/>
      <c r="N75" s="98"/>
      <c r="O75" s="13"/>
      <c r="R75" s="13"/>
      <c r="U75" s="13"/>
      <c r="X75" s="13"/>
    </row>
    <row r="76" spans="1:29" ht="12.75" x14ac:dyDescent="0.2">
      <c r="A76" s="35" t="s">
        <v>93</v>
      </c>
      <c r="F76" s="141"/>
      <c r="G76" s="98"/>
      <c r="H76" s="98"/>
      <c r="I76" s="141"/>
      <c r="J76" s="98"/>
      <c r="K76" s="98"/>
      <c r="L76" s="141"/>
      <c r="M76" s="98"/>
      <c r="N76" s="98"/>
      <c r="O76" s="13"/>
      <c r="R76" s="13"/>
      <c r="U76" s="13"/>
      <c r="X76" s="13"/>
    </row>
    <row r="77" spans="1:29" ht="12.75" x14ac:dyDescent="0.2">
      <c r="A77" s="73" t="s">
        <v>107</v>
      </c>
      <c r="F77" s="141"/>
      <c r="G77" s="98"/>
      <c r="H77" s="98"/>
      <c r="I77" s="141"/>
      <c r="J77" s="98"/>
      <c r="K77" s="98"/>
      <c r="L77" s="141"/>
      <c r="M77" s="98"/>
      <c r="N77" s="98"/>
      <c r="O77" s="13"/>
      <c r="R77" s="13"/>
      <c r="U77" s="13"/>
      <c r="X77" s="13"/>
    </row>
    <row r="78" spans="1:29" ht="12.75" x14ac:dyDescent="0.2">
      <c r="A78" s="35" t="s">
        <v>95</v>
      </c>
      <c r="F78" s="141"/>
      <c r="G78" s="98"/>
      <c r="H78" s="98"/>
      <c r="I78" s="141"/>
      <c r="J78" s="98"/>
      <c r="K78" s="98"/>
      <c r="L78" s="141"/>
      <c r="M78" s="98"/>
      <c r="N78" s="98"/>
      <c r="O78" s="13"/>
      <c r="R78" s="13"/>
      <c r="U78" s="13"/>
      <c r="X78" s="13"/>
    </row>
    <row r="79" spans="1:29" ht="12.75" x14ac:dyDescent="0.2">
      <c r="A79" s="35" t="s">
        <v>98</v>
      </c>
      <c r="C79" s="94">
        <v>0.54200000000000004</v>
      </c>
      <c r="F79" s="143">
        <v>0.48</v>
      </c>
      <c r="G79" s="98"/>
      <c r="H79" s="98"/>
      <c r="I79" s="143">
        <v>0.753</v>
      </c>
      <c r="J79" s="98"/>
      <c r="K79" s="98"/>
      <c r="L79" s="143">
        <v>0.72699999999999998</v>
      </c>
      <c r="M79" s="98"/>
      <c r="N79" s="98"/>
      <c r="O79" s="143">
        <v>0.71199999999999997</v>
      </c>
      <c r="R79" s="143">
        <v>0.55700000000000005</v>
      </c>
      <c r="U79" s="143">
        <v>0.39600000000000002</v>
      </c>
      <c r="X79" s="143">
        <v>0.27300000000000002</v>
      </c>
    </row>
    <row r="80" spans="1:29" ht="12.75" x14ac:dyDescent="0.2">
      <c r="A80" s="1"/>
      <c r="F80" s="13"/>
      <c r="I80" s="13"/>
      <c r="L80" s="13"/>
      <c r="O80" s="13"/>
      <c r="R80" s="13"/>
      <c r="U80" s="13"/>
      <c r="X80" s="13"/>
    </row>
    <row r="81" spans="1:29" ht="25.5" x14ac:dyDescent="0.2">
      <c r="A81" s="12" t="s">
        <v>217</v>
      </c>
      <c r="B81" s="111"/>
      <c r="C81" s="111"/>
      <c r="D81" s="111"/>
      <c r="E81" s="111"/>
      <c r="F81" s="150"/>
      <c r="G81" s="137"/>
      <c r="H81" s="137"/>
      <c r="I81" s="150"/>
      <c r="J81" s="137"/>
      <c r="K81" s="137"/>
      <c r="L81" s="150"/>
      <c r="M81" s="137"/>
      <c r="N81" s="137"/>
      <c r="O81" s="151"/>
      <c r="P81" s="111"/>
      <c r="Q81" s="111"/>
      <c r="R81" s="151"/>
      <c r="S81" s="111"/>
      <c r="T81" s="111"/>
      <c r="U81" s="151"/>
      <c r="V81" s="111"/>
      <c r="W81" s="111"/>
      <c r="X81" s="151"/>
      <c r="Y81" s="111"/>
      <c r="Z81" s="111"/>
      <c r="AA81" s="111"/>
      <c r="AB81" s="111"/>
      <c r="AC81" s="111"/>
    </row>
    <row r="82" spans="1:29" ht="38.25" x14ac:dyDescent="0.2">
      <c r="A82" s="27"/>
      <c r="B82" s="27"/>
      <c r="C82" s="26" t="s">
        <v>185</v>
      </c>
      <c r="D82" s="26" t="s">
        <v>186</v>
      </c>
      <c r="E82" s="26" t="s">
        <v>187</v>
      </c>
      <c r="F82" s="138" t="s">
        <v>188</v>
      </c>
      <c r="G82" s="26" t="s">
        <v>189</v>
      </c>
      <c r="H82" s="26" t="s">
        <v>190</v>
      </c>
      <c r="I82" s="138" t="s">
        <v>191</v>
      </c>
      <c r="J82" s="26" t="s">
        <v>192</v>
      </c>
      <c r="K82" s="26" t="s">
        <v>193</v>
      </c>
      <c r="L82" s="138" t="s">
        <v>194</v>
      </c>
      <c r="M82" s="26" t="s">
        <v>195</v>
      </c>
      <c r="N82" s="26" t="s">
        <v>196</v>
      </c>
      <c r="O82" s="138" t="s">
        <v>198</v>
      </c>
      <c r="P82" s="26" t="s">
        <v>199</v>
      </c>
      <c r="Q82" s="26" t="s">
        <v>200</v>
      </c>
      <c r="R82" s="138" t="s">
        <v>207</v>
      </c>
      <c r="S82" s="26" t="s">
        <v>208</v>
      </c>
      <c r="T82" s="26" t="s">
        <v>209</v>
      </c>
      <c r="U82" s="138" t="s">
        <v>210</v>
      </c>
      <c r="V82" s="26" t="s">
        <v>211</v>
      </c>
      <c r="W82" s="26" t="s">
        <v>212</v>
      </c>
      <c r="X82" s="138" t="s">
        <v>213</v>
      </c>
      <c r="Y82" s="26" t="s">
        <v>214</v>
      </c>
      <c r="Z82" s="26" t="s">
        <v>215</v>
      </c>
      <c r="AA82" s="27"/>
      <c r="AB82" s="27"/>
      <c r="AC82" s="27"/>
    </row>
    <row r="83" spans="1:29" ht="12.75" x14ac:dyDescent="0.2">
      <c r="A83" s="29" t="s">
        <v>40</v>
      </c>
      <c r="C83" s="98">
        <f>E57*(1-C66)*E60</f>
        <v>2.3318446253864852E-2</v>
      </c>
      <c r="D83" s="98">
        <f>E57*(1-D66)*E60</f>
        <v>2.5827127425392473E-2</v>
      </c>
      <c r="E83" s="98">
        <f>E57*(1-E66)*E60</f>
        <v>2.833580859692009E-2</v>
      </c>
      <c r="F83" s="141">
        <f>E57*(1-F66)*E60</f>
        <v>4.9833937409716226E-3</v>
      </c>
      <c r="G83" s="98">
        <f>E57*(1-G66)*E60</f>
        <v>1.4950181222914886E-2</v>
      </c>
      <c r="H83" s="98">
        <f>E57*(1-H66)*E60</f>
        <v>4.4850543668744677E-2</v>
      </c>
      <c r="I83" s="141">
        <f>E57*(1-I66)*E60</f>
        <v>1.2888087261133526E-2</v>
      </c>
      <c r="J83" s="98">
        <f>E57*(1-J66)*E60</f>
        <v>1.5570607749206666E-2</v>
      </c>
      <c r="K83" s="94">
        <f>E57*(1-K66)*E60</f>
        <v>1.8253128237279807E-2</v>
      </c>
      <c r="L83" s="141">
        <f>E57*(1-L66)*E60</f>
        <v>8.8894246161783375E-3</v>
      </c>
      <c r="M83" s="98">
        <f>E57*(1-M66)*E60</f>
        <v>1.6862413704915633E-2</v>
      </c>
      <c r="N83" s="94">
        <f>E57*(1-N66)*E60</f>
        <v>3.1986434244376055E-2</v>
      </c>
      <c r="O83" s="141">
        <f>E57*(1-O66)*E60</f>
        <v>4.3100161584907017E-2</v>
      </c>
      <c r="P83" s="98">
        <f>E57*(1-P66)*E60</f>
        <v>4.5279147500917265E-2</v>
      </c>
      <c r="Q83" s="94">
        <f>E57*(1-Q66)*E60</f>
        <v>4.7458133416927506E-2</v>
      </c>
      <c r="R83" s="141">
        <f>E57*(1-R66)*E60</f>
        <v>1.6340895755279063E-2</v>
      </c>
      <c r="S83" s="94">
        <f>E57*(1-S66)*E60</f>
        <v>3.2681791510558125E-2</v>
      </c>
      <c r="T83" s="94">
        <f>E57*(1-T66)*E60</f>
        <v>6.5363583021116278E-2</v>
      </c>
      <c r="U83" s="141">
        <f>E57*(1-U66)*E60</f>
        <v>4.5078333118011224E-2</v>
      </c>
      <c r="V83" s="98">
        <f>E57*(1-V66)*E60</f>
        <v>4.7224349508469737E-2</v>
      </c>
      <c r="W83" s="98">
        <f>E57*(1-W66)*E60</f>
        <v>4.9370365898928251E-2</v>
      </c>
      <c r="X83" s="141">
        <f>E57*(1-X66)*E60</f>
        <v>2.1577146683953271E-2</v>
      </c>
      <c r="Y83" s="98">
        <f>E57*(1-Y66)*E60</f>
        <v>3.3377148776740216E-2</v>
      </c>
      <c r="Z83" s="98">
        <f>E57*(1-Z66)*E60</f>
        <v>5.1630277014020037E-2</v>
      </c>
    </row>
    <row r="84" spans="1:29" ht="12.75" x14ac:dyDescent="0.2">
      <c r="A84" s="35" t="s">
        <v>89</v>
      </c>
      <c r="C84" s="98">
        <f t="shared" ref="C84:Z84" si="15">C83</f>
        <v>2.3318446253864852E-2</v>
      </c>
      <c r="D84" s="98">
        <f t="shared" si="15"/>
        <v>2.5827127425392473E-2</v>
      </c>
      <c r="E84" s="98">
        <f t="shared" si="15"/>
        <v>2.833580859692009E-2</v>
      </c>
      <c r="F84" s="141">
        <f t="shared" si="15"/>
        <v>4.9833937409716226E-3</v>
      </c>
      <c r="G84" s="98">
        <f t="shared" si="15"/>
        <v>1.4950181222914886E-2</v>
      </c>
      <c r="H84" s="98">
        <f t="shared" si="15"/>
        <v>4.4850543668744677E-2</v>
      </c>
      <c r="I84" s="141">
        <f t="shared" si="15"/>
        <v>1.2888087261133526E-2</v>
      </c>
      <c r="J84" s="98">
        <f t="shared" si="15"/>
        <v>1.5570607749206666E-2</v>
      </c>
      <c r="K84" s="98">
        <f t="shared" si="15"/>
        <v>1.8253128237279807E-2</v>
      </c>
      <c r="L84" s="141">
        <f t="shared" si="15"/>
        <v>8.8894246161783375E-3</v>
      </c>
      <c r="M84" s="98">
        <f t="shared" si="15"/>
        <v>1.6862413704915633E-2</v>
      </c>
      <c r="N84" s="98">
        <f t="shared" si="15"/>
        <v>3.1986434244376055E-2</v>
      </c>
      <c r="O84" s="141">
        <f t="shared" si="15"/>
        <v>4.3100161584907017E-2</v>
      </c>
      <c r="P84" s="98">
        <f t="shared" si="15"/>
        <v>4.5279147500917265E-2</v>
      </c>
      <c r="Q84" s="98">
        <f t="shared" si="15"/>
        <v>4.7458133416927506E-2</v>
      </c>
      <c r="R84" s="141">
        <f t="shared" si="15"/>
        <v>1.6340895755279063E-2</v>
      </c>
      <c r="S84" s="98">
        <f t="shared" si="15"/>
        <v>3.2681791510558125E-2</v>
      </c>
      <c r="T84" s="98">
        <f t="shared" si="15"/>
        <v>6.5363583021116278E-2</v>
      </c>
      <c r="U84" s="141">
        <f t="shared" si="15"/>
        <v>4.5078333118011224E-2</v>
      </c>
      <c r="V84" s="98">
        <f t="shared" si="15"/>
        <v>4.7224349508469737E-2</v>
      </c>
      <c r="W84" s="98">
        <f t="shared" si="15"/>
        <v>4.9370365898928251E-2</v>
      </c>
      <c r="X84" s="141">
        <f t="shared" si="15"/>
        <v>2.1577146683953271E-2</v>
      </c>
      <c r="Y84" s="98">
        <f t="shared" si="15"/>
        <v>3.3377148776740216E-2</v>
      </c>
      <c r="Z84" s="98">
        <f t="shared" si="15"/>
        <v>5.1630277014020037E-2</v>
      </c>
    </row>
    <row r="85" spans="1:29" ht="12.75" x14ac:dyDescent="0.2">
      <c r="A85" s="29" t="s">
        <v>44</v>
      </c>
      <c r="C85" s="98">
        <f t="shared" ref="C85:Z85" si="16">C83</f>
        <v>2.3318446253864852E-2</v>
      </c>
      <c r="D85" s="98">
        <f t="shared" si="16"/>
        <v>2.5827127425392473E-2</v>
      </c>
      <c r="E85" s="98">
        <f t="shared" si="16"/>
        <v>2.833580859692009E-2</v>
      </c>
      <c r="F85" s="141">
        <f t="shared" si="16"/>
        <v>4.9833937409716226E-3</v>
      </c>
      <c r="G85" s="98">
        <f t="shared" si="16"/>
        <v>1.4950181222914886E-2</v>
      </c>
      <c r="H85" s="98">
        <f t="shared" si="16"/>
        <v>4.4850543668744677E-2</v>
      </c>
      <c r="I85" s="141">
        <f t="shared" si="16"/>
        <v>1.2888087261133526E-2</v>
      </c>
      <c r="J85" s="98">
        <f t="shared" si="16"/>
        <v>1.5570607749206666E-2</v>
      </c>
      <c r="K85" s="98">
        <f t="shared" si="16"/>
        <v>1.8253128237279807E-2</v>
      </c>
      <c r="L85" s="141">
        <f t="shared" si="16"/>
        <v>8.8894246161783375E-3</v>
      </c>
      <c r="M85" s="98">
        <f t="shared" si="16"/>
        <v>1.6862413704915633E-2</v>
      </c>
      <c r="N85" s="98">
        <f t="shared" si="16"/>
        <v>3.1986434244376055E-2</v>
      </c>
      <c r="O85" s="141">
        <f t="shared" si="16"/>
        <v>4.3100161584907017E-2</v>
      </c>
      <c r="P85" s="98">
        <f t="shared" si="16"/>
        <v>4.5279147500917265E-2</v>
      </c>
      <c r="Q85" s="98">
        <f t="shared" si="16"/>
        <v>4.7458133416927506E-2</v>
      </c>
      <c r="R85" s="141">
        <f t="shared" si="16"/>
        <v>1.6340895755279063E-2</v>
      </c>
      <c r="S85" s="98">
        <f t="shared" si="16"/>
        <v>3.2681791510558125E-2</v>
      </c>
      <c r="T85" s="98">
        <f t="shared" si="16"/>
        <v>6.5363583021116278E-2</v>
      </c>
      <c r="U85" s="141">
        <f t="shared" si="16"/>
        <v>4.5078333118011224E-2</v>
      </c>
      <c r="V85" s="98">
        <f t="shared" si="16"/>
        <v>4.7224349508469737E-2</v>
      </c>
      <c r="W85" s="98">
        <f t="shared" si="16"/>
        <v>4.9370365898928251E-2</v>
      </c>
      <c r="X85" s="141">
        <f t="shared" si="16"/>
        <v>2.1577146683953271E-2</v>
      </c>
      <c r="Y85" s="98">
        <f t="shared" si="16"/>
        <v>3.3377148776740216E-2</v>
      </c>
      <c r="Z85" s="98">
        <f t="shared" si="16"/>
        <v>5.1630277014020037E-2</v>
      </c>
    </row>
    <row r="86" spans="1:29" ht="12.75" x14ac:dyDescent="0.2">
      <c r="A86" s="29" t="s">
        <v>48</v>
      </c>
      <c r="C86" s="98">
        <f>E57*(1-C69)*E60</f>
        <v>1.6514735071824584E-2</v>
      </c>
      <c r="D86" s="98">
        <f>E57*(1-D69)*E60</f>
        <v>4.906464848017579E-2</v>
      </c>
      <c r="F86" s="141">
        <f>E57*(1-F69)*E60</f>
        <v>2.6945094064555915E-2</v>
      </c>
      <c r="G86" s="98">
        <f>E57*(1-G69)*E60</f>
        <v>6.4253685846248715E-2</v>
      </c>
      <c r="I86" s="143">
        <f>E57*(1-I69)*E60</f>
        <v>1.4254823956732799E-2</v>
      </c>
      <c r="J86" s="98">
        <f>E57*(1-J69)*E60</f>
        <v>4.7272305181999548E-2</v>
      </c>
      <c r="L86" s="143">
        <f>E57*(1-L69)*E60</f>
        <v>2.312062910055443E-2</v>
      </c>
      <c r="M86" s="98">
        <f>E57*(1-M69)*E60</f>
        <v>5.5133807855168263E-2</v>
      </c>
      <c r="O86" s="143">
        <f>E57*(1-O69)*E60</f>
        <v>4.3459829136380503E-2</v>
      </c>
      <c r="P86" s="98">
        <f>E57*(1-P69)*E60</f>
        <v>7.0434895496892552E-2</v>
      </c>
      <c r="R86" s="143">
        <f>E57*(1-R69)*E60</f>
        <v>3.3898666726376779E-2</v>
      </c>
      <c r="S86" s="98">
        <f>E57*(1-S69)*E60</f>
        <v>8.0835282193667729E-2</v>
      </c>
      <c r="U86" s="141">
        <f>E57*(1-U69)*E60</f>
        <v>3.807081032346931E-2</v>
      </c>
      <c r="V86" s="98">
        <f>E57*(1-V69)*E60</f>
        <v>6.6160846093549192E-2</v>
      </c>
      <c r="X86" s="141">
        <f>E57*(1-X69)*E60</f>
        <v>6.2408314639842401E-2</v>
      </c>
      <c r="Y86" s="98">
        <f>E57*(1-Y69)*E60</f>
        <v>0.14881982721808573</v>
      </c>
    </row>
    <row r="87" spans="1:29" ht="12.75" x14ac:dyDescent="0.2">
      <c r="A87" s="35" t="s">
        <v>52</v>
      </c>
      <c r="C87" s="98">
        <f>E57*(1-C70)*E60</f>
        <v>2.3318446253864852E-2</v>
      </c>
      <c r="D87" s="98">
        <f>E57*(1-D70)*E60</f>
        <v>2.5827127425392473E-2</v>
      </c>
      <c r="E87" s="98">
        <f>E57*(1-E70)*E60</f>
        <v>2.833580859692009E-2</v>
      </c>
      <c r="F87" s="141">
        <f>E57*(1-F70)*E60</f>
        <v>4.9833937409716226E-3</v>
      </c>
      <c r="G87" s="98">
        <f>E57*(1-G70)*E60</f>
        <v>1.4950181222914886E-2</v>
      </c>
      <c r="H87" s="98">
        <f>E57*(1-H70)*E60</f>
        <v>4.4850543668744677E-2</v>
      </c>
      <c r="I87" s="141">
        <f>E57*(1-I70)*E60</f>
        <v>1.2888087261133526E-2</v>
      </c>
      <c r="J87" s="98">
        <f>E57*(1-J70)*E60</f>
        <v>1.5570607749206666E-2</v>
      </c>
      <c r="K87" s="144">
        <f>E57*(1-K70)*E60</f>
        <v>1.8253128237279807E-2</v>
      </c>
      <c r="L87" s="141">
        <f>E57*(1-L70)*E60</f>
        <v>8.8894246161783375E-3</v>
      </c>
      <c r="M87" s="98">
        <f>E57*(1-M70)*E60</f>
        <v>1.6862413704915633E-2</v>
      </c>
      <c r="N87" s="144">
        <f>E57*(1-N70)*E60</f>
        <v>3.1986434244376055E-2</v>
      </c>
      <c r="O87" s="141">
        <f>E57*(1-O70)*E60</f>
        <v>4.3100161584907017E-2</v>
      </c>
      <c r="P87" s="98">
        <f>E57*(1-P70)*E60</f>
        <v>4.5279147500917265E-2</v>
      </c>
      <c r="Q87" s="144">
        <f>E57*(1-Q70)*E60</f>
        <v>4.7458133416927506E-2</v>
      </c>
      <c r="R87" s="141">
        <f>E57*(1-R70)*E60</f>
        <v>1.6340895755279063E-2</v>
      </c>
      <c r="S87" s="98">
        <f>E57*(1-S70)*E60</f>
        <v>3.2681791510558125E-2</v>
      </c>
      <c r="T87" s="98">
        <f>E57*(1-T70)*E60</f>
        <v>6.5363583021116278E-2</v>
      </c>
      <c r="U87" s="141">
        <f>E57*(1-U70)*E60</f>
        <v>4.5078333118011224E-2</v>
      </c>
      <c r="V87" s="98">
        <f>E57*(1-V70)*E60</f>
        <v>4.7224349508469737E-2</v>
      </c>
      <c r="W87" s="98">
        <f>E57*(1-W70)*E60</f>
        <v>4.9370365898928251E-2</v>
      </c>
      <c r="X87" s="141">
        <f>E57*(1-X70)*E60</f>
        <v>2.1577146683953271E-2</v>
      </c>
      <c r="Y87" s="98">
        <f>E57*(1-Y70)*E60</f>
        <v>3.3377148776740216E-2</v>
      </c>
      <c r="Z87" s="98">
        <f>E57*(1-Z70)*E60</f>
        <v>5.1630277014020037E-2</v>
      </c>
    </row>
    <row r="88" spans="1:29" ht="12.75" x14ac:dyDescent="0.2">
      <c r="A88" s="35" t="s">
        <v>55</v>
      </c>
      <c r="C88" s="98">
        <f t="shared" ref="C88:Z88" si="17">C87</f>
        <v>2.3318446253864852E-2</v>
      </c>
      <c r="D88" s="98">
        <f t="shared" si="17"/>
        <v>2.5827127425392473E-2</v>
      </c>
      <c r="E88" s="98">
        <f t="shared" si="17"/>
        <v>2.833580859692009E-2</v>
      </c>
      <c r="F88" s="141">
        <f t="shared" si="17"/>
        <v>4.9833937409716226E-3</v>
      </c>
      <c r="G88" s="98">
        <f t="shared" si="17"/>
        <v>1.4950181222914886E-2</v>
      </c>
      <c r="H88" s="98">
        <f t="shared" si="17"/>
        <v>4.4850543668744677E-2</v>
      </c>
      <c r="I88" s="141">
        <f t="shared" si="17"/>
        <v>1.2888087261133526E-2</v>
      </c>
      <c r="J88" s="98">
        <f t="shared" si="17"/>
        <v>1.5570607749206666E-2</v>
      </c>
      <c r="K88" s="98">
        <f t="shared" si="17"/>
        <v>1.8253128237279807E-2</v>
      </c>
      <c r="L88" s="141">
        <f t="shared" si="17"/>
        <v>8.8894246161783375E-3</v>
      </c>
      <c r="M88" s="98">
        <f t="shared" si="17"/>
        <v>1.6862413704915633E-2</v>
      </c>
      <c r="N88" s="98">
        <f t="shared" si="17"/>
        <v>3.1986434244376055E-2</v>
      </c>
      <c r="O88" s="141">
        <f t="shared" si="17"/>
        <v>4.3100161584907017E-2</v>
      </c>
      <c r="P88" s="98">
        <f t="shared" si="17"/>
        <v>4.5279147500917265E-2</v>
      </c>
      <c r="Q88" s="98">
        <f t="shared" si="17"/>
        <v>4.7458133416927506E-2</v>
      </c>
      <c r="R88" s="141">
        <f t="shared" si="17"/>
        <v>1.6340895755279063E-2</v>
      </c>
      <c r="S88" s="98">
        <f t="shared" si="17"/>
        <v>3.2681791510558125E-2</v>
      </c>
      <c r="T88" s="98">
        <f t="shared" si="17"/>
        <v>6.5363583021116278E-2</v>
      </c>
      <c r="U88" s="141">
        <f t="shared" si="17"/>
        <v>4.5078333118011224E-2</v>
      </c>
      <c r="V88" s="98">
        <f t="shared" si="17"/>
        <v>4.7224349508469737E-2</v>
      </c>
      <c r="W88" s="98">
        <f t="shared" si="17"/>
        <v>4.9370365898928251E-2</v>
      </c>
      <c r="X88" s="141">
        <f t="shared" si="17"/>
        <v>2.1577146683953271E-2</v>
      </c>
      <c r="Y88" s="98">
        <f t="shared" si="17"/>
        <v>3.3377148776740216E-2</v>
      </c>
      <c r="Z88" s="98">
        <f t="shared" si="17"/>
        <v>5.1630277014020037E-2</v>
      </c>
    </row>
    <row r="89" spans="1:29" ht="12.75" x14ac:dyDescent="0.2">
      <c r="A89" s="35" t="s">
        <v>62</v>
      </c>
      <c r="C89" s="98">
        <f>E57*(1-C72)*E60</f>
        <v>2.3318446253864852E-2</v>
      </c>
      <c r="D89" s="98">
        <f>E57*(1-D72)*E60</f>
        <v>2.5827127425392473E-2</v>
      </c>
      <c r="E89" s="98">
        <f>E57*(1-E72)*E60</f>
        <v>2.833580859692009E-2</v>
      </c>
      <c r="F89" s="141">
        <f>E57*(1-F72)*E60</f>
        <v>4.9833937409716226E-3</v>
      </c>
      <c r="G89" s="98">
        <f>E57*(1-G72)*E60</f>
        <v>1.4950181222914886E-2</v>
      </c>
      <c r="H89" s="98">
        <f>E57*(1-H72)*E60</f>
        <v>4.4850543668744677E-2</v>
      </c>
      <c r="I89" s="141">
        <f>E57*(1-I72)*E60</f>
        <v>1.2888087261133526E-2</v>
      </c>
      <c r="J89" s="98">
        <f>E57*(1-J72)*E60</f>
        <v>1.5570607749206666E-2</v>
      </c>
      <c r="K89" s="94">
        <f>E57*(1-K72)*E60</f>
        <v>1.8253128237279807E-2</v>
      </c>
      <c r="L89" s="141">
        <f>E57*(1-L72)*E60</f>
        <v>8.8894246161783375E-3</v>
      </c>
      <c r="M89" s="98">
        <f>E57*(1-M72)*E60</f>
        <v>1.6862413704915633E-2</v>
      </c>
      <c r="N89" s="94">
        <f>E57*(1-N72)*E60</f>
        <v>3.1986434244376055E-2</v>
      </c>
      <c r="O89" s="141">
        <f>E57*(1-O72)*E60</f>
        <v>4.3100161584907017E-2</v>
      </c>
      <c r="P89" s="98">
        <f>E57*(1-P72)*E60</f>
        <v>4.5279147500917265E-2</v>
      </c>
      <c r="Q89" s="94">
        <f>E57*(1-Q72)*E60</f>
        <v>4.7458133416927506E-2</v>
      </c>
      <c r="R89" s="141">
        <f>E57*(1-R72)*E60</f>
        <v>1.6340895755279063E-2</v>
      </c>
      <c r="S89" s="98">
        <f>E57*(1-S72)*E60</f>
        <v>3.2681791510558125E-2</v>
      </c>
      <c r="T89" s="98">
        <f>E57*(1-T72)*E60</f>
        <v>6.5363583021116278E-2</v>
      </c>
      <c r="U89" s="141">
        <f>E57*(1-U72)*E60</f>
        <v>4.5078333118011224E-2</v>
      </c>
      <c r="V89" s="98">
        <f>E57*(1-V72)*E60</f>
        <v>4.7224349508469737E-2</v>
      </c>
      <c r="W89" s="98">
        <f>E57*(1-W72)*E60</f>
        <v>4.9370365898928251E-2</v>
      </c>
      <c r="X89" s="141">
        <f>E57*(1-X72)*E60</f>
        <v>2.1577146683953271E-2</v>
      </c>
      <c r="Y89" s="98">
        <f>E57*(1-Y72)*E60</f>
        <v>3.3377148776740216E-2</v>
      </c>
      <c r="Z89" s="98">
        <f>E57*(1-Z72)*E60</f>
        <v>5.1630277014020037E-2</v>
      </c>
    </row>
    <row r="90" spans="1:29" ht="12.75" x14ac:dyDescent="0.2">
      <c r="A90" s="29" t="s">
        <v>70</v>
      </c>
      <c r="C90" s="98">
        <f>E57*(1-C73)*E60</f>
        <v>4.906464848017579E-2</v>
      </c>
      <c r="F90" s="141">
        <f>E57*(1-F73)*E60</f>
        <v>6.4253685846248715E-2</v>
      </c>
      <c r="I90" s="13"/>
      <c r="L90" s="13"/>
      <c r="O90" s="13"/>
      <c r="R90" s="13"/>
      <c r="U90" s="13"/>
      <c r="X90" s="13"/>
    </row>
    <row r="91" spans="1:29" ht="12.75" x14ac:dyDescent="0.2">
      <c r="A91" s="35" t="s">
        <v>88</v>
      </c>
      <c r="F91" s="13"/>
      <c r="I91" s="13"/>
      <c r="L91" s="13"/>
      <c r="O91" s="13"/>
      <c r="R91" s="13"/>
      <c r="U91" s="13"/>
      <c r="X91" s="13"/>
    </row>
    <row r="92" spans="1:29" ht="12.75" x14ac:dyDescent="0.2">
      <c r="A92" s="35" t="s">
        <v>91</v>
      </c>
      <c r="F92" s="13"/>
      <c r="I92" s="13"/>
      <c r="L92" s="13"/>
      <c r="O92" s="13"/>
      <c r="R92" s="13"/>
      <c r="U92" s="13"/>
      <c r="X92" s="13"/>
    </row>
    <row r="93" spans="1:29" ht="12.75" x14ac:dyDescent="0.2">
      <c r="A93" s="35" t="s">
        <v>93</v>
      </c>
      <c r="F93" s="13"/>
      <c r="I93" s="13"/>
      <c r="L93" s="13"/>
      <c r="O93" s="13"/>
      <c r="R93" s="13"/>
      <c r="U93" s="13"/>
      <c r="X93" s="13"/>
    </row>
    <row r="94" spans="1:29" ht="12.75" x14ac:dyDescent="0.2">
      <c r="A94" s="35" t="s">
        <v>95</v>
      </c>
      <c r="F94" s="13"/>
      <c r="I94" s="13"/>
      <c r="L94" s="13"/>
      <c r="O94" s="13"/>
      <c r="R94" s="13"/>
      <c r="U94" s="13"/>
      <c r="X94" s="13"/>
    </row>
    <row r="95" spans="1:29" ht="12.75" x14ac:dyDescent="0.2">
      <c r="A95" s="35" t="s">
        <v>98</v>
      </c>
      <c r="F95" s="13"/>
      <c r="I95" s="13"/>
      <c r="L95" s="13"/>
      <c r="O95" s="13"/>
      <c r="R95" s="13"/>
      <c r="U95" s="13"/>
      <c r="X95" s="13"/>
    </row>
    <row r="96" spans="1:29" ht="12.75" x14ac:dyDescent="0.2">
      <c r="A96" s="1"/>
      <c r="F96" s="13"/>
      <c r="I96" s="13"/>
      <c r="L96" s="13"/>
      <c r="O96" s="13"/>
      <c r="R96" s="13"/>
      <c r="U96" s="13"/>
      <c r="X96" s="13"/>
    </row>
    <row r="97" spans="1:29" ht="25.5" x14ac:dyDescent="0.2">
      <c r="A97" s="12" t="s">
        <v>264</v>
      </c>
      <c r="B97" s="111"/>
      <c r="C97" s="111"/>
      <c r="D97" s="111"/>
      <c r="E97" s="111"/>
      <c r="F97" s="150"/>
      <c r="G97" s="137"/>
      <c r="H97" s="137"/>
      <c r="I97" s="150"/>
      <c r="J97" s="137"/>
      <c r="K97" s="137"/>
      <c r="L97" s="150"/>
      <c r="M97" s="137"/>
      <c r="N97" s="137"/>
      <c r="O97" s="151"/>
      <c r="P97" s="111"/>
      <c r="Q97" s="111"/>
      <c r="R97" s="151"/>
      <c r="S97" s="111"/>
      <c r="T97" s="111"/>
      <c r="U97" s="151"/>
      <c r="V97" s="111"/>
      <c r="W97" s="111"/>
      <c r="X97" s="151"/>
      <c r="Y97" s="111"/>
      <c r="Z97" s="111"/>
      <c r="AA97" s="111"/>
      <c r="AB97" s="111"/>
      <c r="AC97" s="111"/>
    </row>
    <row r="98" spans="1:29" ht="38.25" x14ac:dyDescent="0.2">
      <c r="A98" s="27"/>
      <c r="B98" s="27"/>
      <c r="C98" s="26" t="s">
        <v>185</v>
      </c>
      <c r="D98" s="26" t="s">
        <v>186</v>
      </c>
      <c r="E98" s="26" t="s">
        <v>187</v>
      </c>
      <c r="F98" s="138" t="s">
        <v>188</v>
      </c>
      <c r="G98" s="26" t="s">
        <v>189</v>
      </c>
      <c r="H98" s="26" t="s">
        <v>190</v>
      </c>
      <c r="I98" s="138" t="s">
        <v>191</v>
      </c>
      <c r="J98" s="26" t="s">
        <v>192</v>
      </c>
      <c r="K98" s="26" t="s">
        <v>193</v>
      </c>
      <c r="L98" s="138" t="s">
        <v>194</v>
      </c>
      <c r="M98" s="26" t="s">
        <v>195</v>
      </c>
      <c r="N98" s="26" t="s">
        <v>196</v>
      </c>
      <c r="O98" s="138" t="s">
        <v>198</v>
      </c>
      <c r="P98" s="26" t="s">
        <v>199</v>
      </c>
      <c r="Q98" s="26" t="s">
        <v>200</v>
      </c>
      <c r="R98" s="138" t="s">
        <v>207</v>
      </c>
      <c r="S98" s="26" t="s">
        <v>208</v>
      </c>
      <c r="T98" s="26" t="s">
        <v>209</v>
      </c>
      <c r="U98" s="138" t="s">
        <v>210</v>
      </c>
      <c r="V98" s="26" t="s">
        <v>211</v>
      </c>
      <c r="W98" s="26" t="s">
        <v>212</v>
      </c>
      <c r="X98" s="138" t="s">
        <v>213</v>
      </c>
      <c r="Y98" s="26" t="s">
        <v>214</v>
      </c>
      <c r="Z98" s="26" t="s">
        <v>215</v>
      </c>
      <c r="AA98" s="27"/>
      <c r="AB98" s="27"/>
      <c r="AC98" s="27"/>
    </row>
    <row r="99" spans="1:29" ht="12.75" x14ac:dyDescent="0.2">
      <c r="A99" s="29" t="s">
        <v>40</v>
      </c>
      <c r="C99" s="172">
        <f>(('National CEA estimate'!C19)*('National CEA estimate'!C67)*C83)</f>
        <v>4.7328507273161488E-6</v>
      </c>
      <c r="D99" s="172">
        <f>(('National CEA estimate'!D19)*('National CEA estimate'!C67)*D83)</f>
        <v>5.550382181753855E-6</v>
      </c>
      <c r="E99" s="172">
        <f>(('National CEA estimate'!E19)*('National CEA estimate'!C67)*E83)</f>
        <v>1.3532245760837235E-6</v>
      </c>
      <c r="F99" s="173">
        <f>(('National CEA estimate'!C19)*('National CEA estimate'!C67)*F83)</f>
        <v>1.0114592728300303E-6</v>
      </c>
      <c r="G99" s="172">
        <f>(('National CEA estimate'!D19)*('National CEA estimate'!C67)*G83)</f>
        <v>3.2128706420550319E-6</v>
      </c>
      <c r="H99" s="172">
        <f>(('National CEA estimate'!E19)*('National CEA estimate'!C67)*H83)</f>
        <v>2.1419137461938688E-6</v>
      </c>
      <c r="I99" s="173">
        <f>(('National CEA estimate'!C19)*('National CEA estimate'!C67)*I83)</f>
        <v>2.6158429469742202E-6</v>
      </c>
      <c r="J99" s="172">
        <f>(('National CEA estimate'!D19)*('National CEA estimate'!C67)*J83)</f>
        <v>3.3462034854602837E-6</v>
      </c>
      <c r="K99" s="174">
        <f>(('National CEA estimate'!E19)*('National CEA estimate'!C67)*K83)</f>
        <v>8.7170908275331857E-7</v>
      </c>
      <c r="L99" s="173">
        <f>(('National CEA estimate'!C19)*('National CEA estimate'!C67)*L83)</f>
        <v>1.8042505620685839E-6</v>
      </c>
      <c r="M99" s="172">
        <f>(('National CEA estimate'!D19)*('National CEA estimate'!C67)*M83)</f>
        <v>3.6238192125504441E-6</v>
      </c>
      <c r="N99" s="174">
        <f>(('National CEA estimate'!E19)*('National CEA estimate'!C67)*N83)</f>
        <v>1.5275663926343873E-6</v>
      </c>
      <c r="O99" s="173">
        <f>(('National CEA estimate'!C19)*('National CEA estimate'!C67)*O83)</f>
        <v>8.7478654831370465E-6</v>
      </c>
      <c r="P99" s="172">
        <f>(('National CEA estimate'!D19)*('National CEA estimate'!C67)*P83)</f>
        <v>9.730721088517522E-6</v>
      </c>
      <c r="Q99" s="174">
        <f>(('National CEA estimate'!E19)*('National CEA estimate'!C67)*Q83)</f>
        <v>2.2664436151586285E-6</v>
      </c>
      <c r="R99" s="173">
        <f>(('National CEA estimate'!C19)*('National CEA estimate'!C67)*R83)</f>
        <v>3.3166455225356851E-6</v>
      </c>
      <c r="S99" s="174">
        <f>(('National CEA estimate'!D19)*('National CEA estimate'!C67)*S83)</f>
        <v>7.0234846593761166E-6</v>
      </c>
      <c r="T99" s="174">
        <f>(('National CEA estimate'!E19)*('National CEA estimate'!C67)*T83)</f>
        <v>3.1215487153833128E-6</v>
      </c>
      <c r="U99" s="173">
        <f>(('National CEA estimate'!C19)*('National CEA estimate'!C67)*U83)</f>
        <v>9.149366958719135E-6</v>
      </c>
      <c r="V99" s="172">
        <f>(('National CEA estimate'!D19)*('National CEA estimate'!C67)*V83)</f>
        <v>1.0148754979193886E-5</v>
      </c>
      <c r="W99" s="172">
        <f>(('National CEA estimate'!E19)*('National CEA estimate'!C67)*W83)</f>
        <v>2.357765519066119E-6</v>
      </c>
      <c r="X99" s="173">
        <f>(('National CEA estimate'!C19)*('National CEA estimate'!C67)*X83)</f>
        <v>4.3794261961012794E-6</v>
      </c>
      <c r="Y99" s="172">
        <f>(('National CEA estimate'!D19)*('National CEA estimate'!C67)*Y83)</f>
        <v>7.1729205031926304E-6</v>
      </c>
      <c r="Z99" s="172">
        <f>(('National CEA estimate'!E19)*('National CEA estimate'!C67)*Z83)</f>
        <v>2.4656914055022444E-6</v>
      </c>
    </row>
    <row r="100" spans="1:29" ht="12.75" x14ac:dyDescent="0.2">
      <c r="A100" s="35" t="s">
        <v>89</v>
      </c>
      <c r="C100" s="172">
        <f>(('National CEA estimate'!C20)*('National CEA estimate'!C68)*C83)</f>
        <v>1.8836034103751578E-8</v>
      </c>
      <c r="D100" s="172">
        <f>(('National CEA estimate'!D20)*('National CEA estimate'!C68)*D83)</f>
        <v>2.2089686278222395E-8</v>
      </c>
      <c r="E100" s="172">
        <f>(('National CEA estimate'!E20)*('National CEA estimate'!C68)*E83)</f>
        <v>5.385630296352494E-9</v>
      </c>
      <c r="F100" s="173">
        <f>(('National CEA estimate'!C20)*('National CEA estimate'!C68)*F83)</f>
        <v>4.0254557887537576E-9</v>
      </c>
      <c r="G100" s="172">
        <f>(('National CEA estimate'!D20)*('National CEA estimate'!C68)*G83)</f>
        <v>1.2786741923613002E-8</v>
      </c>
      <c r="H100" s="172">
        <f>(('National CEA estimate'!E20)*('National CEA estimate'!C68)*H83)</f>
        <v>8.5244945795027204E-9</v>
      </c>
      <c r="I100" s="173">
        <f>(('National CEA estimate'!C20)*('National CEA estimate'!C68)*I83)</f>
        <v>1.0410661522639044E-8</v>
      </c>
      <c r="J100" s="172">
        <f>(('National CEA estimate'!D20)*('National CEA estimate'!C68)*J83)</f>
        <v>1.331738658644137E-8</v>
      </c>
      <c r="K100" s="172">
        <f>(('National CEA estimate'!E20)*('National CEA estimate'!C68)*K83)</f>
        <v>3.4692710497976177E-9</v>
      </c>
      <c r="L100" s="173">
        <f>(('National CEA estimate'!C20)*('National CEA estimate'!C68)*L83)</f>
        <v>7.1806458891021448E-9</v>
      </c>
      <c r="M100" s="172">
        <f>(('National CEA estimate'!D20)*('National CEA estimate'!C68)*M83)</f>
        <v>1.4422255425470483E-8</v>
      </c>
      <c r="N100" s="172">
        <f>(('National CEA estimate'!E20)*('National CEA estimate'!C68)*N83)</f>
        <v>6.0794845063120184E-9</v>
      </c>
      <c r="O100" s="173">
        <f>(('National CEA estimate'!C20)*('National CEA estimate'!C68)*O83)</f>
        <v>3.4815188998965E-8</v>
      </c>
      <c r="P100" s="172">
        <f>(('National CEA estimate'!D20)*('National CEA estimate'!C68)*P83)</f>
        <v>3.8726806383324321E-8</v>
      </c>
      <c r="Q100" s="172">
        <f>(('National CEA estimate'!E20)*('National CEA estimate'!C68)*Q83)</f>
        <v>9.0201047294738078E-9</v>
      </c>
      <c r="R100" s="173">
        <f>(('National CEA estimate'!C20)*('National CEA estimate'!C68)*R83)</f>
        <v>1.3199750377076291E-8</v>
      </c>
      <c r="S100" s="172">
        <f>(('National CEA estimate'!D20)*('National CEA estimate'!C68)*S83)</f>
        <v>2.7952412577200517E-8</v>
      </c>
      <c r="T100" s="172">
        <f>(('National CEA estimate'!E20)*('National CEA estimate'!C68)*T83)</f>
        <v>1.2423294425941948E-8</v>
      </c>
      <c r="U100" s="173">
        <f>(('National CEA estimate'!C20)*('National CEA estimate'!C68)*U83)</f>
        <v>3.6413104488486339E-8</v>
      </c>
      <c r="V100" s="172">
        <f>(('National CEA estimate'!D20)*('National CEA estimate'!C68)*V83)</f>
        <v>4.0390518393834513E-8</v>
      </c>
      <c r="W100" s="172">
        <f>(('National CEA estimate'!E20)*('National CEA estimate'!C68)*W83)</f>
        <v>9.3835521727859392E-9</v>
      </c>
      <c r="X100" s="173">
        <f>(('National CEA estimate'!C20)*('National CEA estimate'!C68)*X83)</f>
        <v>1.7429457622341874E-8</v>
      </c>
      <c r="Y100" s="172">
        <f>(('National CEA estimate'!D20)*('National CEA estimate'!C68)*Y83)</f>
        <v>2.8547144759694146E-8</v>
      </c>
      <c r="Z100" s="172">
        <f>(('National CEA estimate'!E20)*('National CEA estimate'!C68)*Z83)</f>
        <v>9.8130809694275494E-9</v>
      </c>
    </row>
    <row r="101" spans="1:29" ht="12.75" x14ac:dyDescent="0.2">
      <c r="A101" s="29" t="s">
        <v>44</v>
      </c>
      <c r="C101" s="172">
        <f>(('National CEA estimate'!C21)*('National CEA estimate'!C69)*C83*E62)</f>
        <v>2.5625559935366646E-6</v>
      </c>
      <c r="D101" s="172">
        <f>(('National CEA estimate'!D21)*('National CEA estimate'!C69)*D83*E62)</f>
        <v>1.70294691622926E-6</v>
      </c>
      <c r="E101" s="172">
        <f>(('National CEA estimate'!E21)*('National CEA estimate'!C69)*E83*E62)</f>
        <v>6.2278674750332613E-7</v>
      </c>
      <c r="F101" s="173">
        <f>(('National CEA estimate'!C21)*('National CEA estimate'!C69)*F83*E62)</f>
        <v>5.4764478559386718E-7</v>
      </c>
      <c r="G101" s="172">
        <f>(('National CEA estimate'!D21)*('National CEA estimate'!C69)*G83*E62)</f>
        <v>9.8576061484873444E-7</v>
      </c>
      <c r="H101" s="172">
        <f>(('National CEA estimate'!E21)*('National CEA estimate'!C69)*H83*E62)</f>
        <v>9.8576061874759596E-7</v>
      </c>
      <c r="I101" s="173">
        <f>(('National CEA estimate'!C21)*('National CEA estimate'!C69)*I83*E62)</f>
        <v>1.4163227213634517E-6</v>
      </c>
      <c r="J101" s="172">
        <f>(('National CEA estimate'!D21)*('National CEA estimate'!C69)*J83*E62)</f>
        <v>1.0266692851121043E-6</v>
      </c>
      <c r="K101" s="172">
        <f>(('National CEA estimate'!E21)*('National CEA estimate'!C69)*K83*E62)</f>
        <v>4.011816471647192E-7</v>
      </c>
      <c r="L101" s="173">
        <f>(('National CEA estimate'!C21)*('National CEA estimate'!C69)*L83*E62)</f>
        <v>9.7689391828602681E-7</v>
      </c>
      <c r="M101" s="172">
        <f>(('National CEA estimate'!D21)*('National CEA estimate'!C69)*M83*E62)</f>
        <v>1.1118462748875262E-6</v>
      </c>
      <c r="N101" s="172">
        <f>(('National CEA estimate'!E21)*('National CEA estimate'!C69)*N83*E62)</f>
        <v>7.0302307693627014E-7</v>
      </c>
      <c r="O101" s="173">
        <f>(('National CEA estimate'!C21)*('National CEA estimate'!C69)*O83*E62)</f>
        <v>4.7364466821410333E-6</v>
      </c>
      <c r="P101" s="172">
        <f>(('National CEA estimate'!D21)*('National CEA estimate'!C69)*P83*E62)</f>
        <v>2.9855424235204169E-6</v>
      </c>
      <c r="Q101" s="172">
        <f>(('National CEA estimate'!E21)*('National CEA estimate'!C69)*Q83*E62)</f>
        <v>1.04307228262827E-6</v>
      </c>
      <c r="R101" s="173">
        <f>(('National CEA estimate'!C21)*('National CEA estimate'!C69)*R83*E62)</f>
        <v>1.7957654597380316E-6</v>
      </c>
      <c r="S101" s="172">
        <f>(('National CEA estimate'!D21)*('National CEA estimate'!C69)*S83*E62)</f>
        <v>2.1549185533902566E-6</v>
      </c>
      <c r="T101" s="172">
        <f>(('National CEA estimate'!E21)*('National CEA estimate'!C69)*T83*E62)</f>
        <v>1.4366123746088995E-6</v>
      </c>
      <c r="U101" s="173">
        <f>(('National CEA estimate'!C21)*('National CEA estimate'!C69)*U83*E62)</f>
        <v>4.9538357510014693E-6</v>
      </c>
      <c r="V101" s="172">
        <f>(('National CEA estimate'!D21)*('National CEA estimate'!C69)*V83*E62)</f>
        <v>3.113801974249532E-6</v>
      </c>
      <c r="W101" s="172">
        <f>(('National CEA estimate'!E21)*('National CEA estimate'!C69)*W83*E62)</f>
        <v>1.0851008361407644E-6</v>
      </c>
      <c r="X101" s="173">
        <f>(('National CEA estimate'!C21)*('National CEA estimate'!C69)*X83*E62)</f>
        <v>2.3711977185967049E-6</v>
      </c>
      <c r="Y101" s="172">
        <f>(('National CEA estimate'!D21)*('National CEA estimate'!C69)*Y83*E62)</f>
        <v>2.200767884313454E-6</v>
      </c>
      <c r="Z101" s="172">
        <f>(('National CEA estimate'!E21)*('National CEA estimate'!C69)*Z83*E62)</f>
        <v>1.1347709448373488E-6</v>
      </c>
    </row>
    <row r="102" spans="1:29" ht="12.75" x14ac:dyDescent="0.2">
      <c r="A102" s="29" t="s">
        <v>48</v>
      </c>
      <c r="C102" s="172">
        <f>(('National CEA estimate'!C22)*('National CEA estimate'!C70)*C86)</f>
        <v>1.6604287597151571E-5</v>
      </c>
      <c r="D102" s="172">
        <f>(('National CEA estimate'!D22)*('National CEA estimate'!C70)*D86)</f>
        <v>6.537198502120819E-7</v>
      </c>
      <c r="E102" s="172"/>
      <c r="F102" s="173">
        <f>(('National CEA estimate'!C22)*('National CEA estimate'!C70)*F86)</f>
        <v>2.7091206079563105E-5</v>
      </c>
      <c r="G102" s="172">
        <f>(('National CEA estimate'!D22)*('National CEA estimate'!C70)*G86)</f>
        <v>8.5609315847753908E-7</v>
      </c>
      <c r="H102" s="172"/>
      <c r="I102" s="181">
        <f>(('National CEA estimate'!C22)*('National CEA estimate'!C70)*I86)</f>
        <v>1.4332121925962408E-5</v>
      </c>
      <c r="J102" s="172">
        <f>(('National CEA estimate'!D22)*('National CEA estimate'!C70)*J86)</f>
        <v>6.2983930834117022E-7</v>
      </c>
      <c r="K102" s="172"/>
      <c r="L102" s="181">
        <f>(('National CEA estimate'!C22)*('National CEA estimate'!C70)*L86)</f>
        <v>2.3246002636012211E-5</v>
      </c>
      <c r="M102" s="172">
        <f>(('National CEA estimate'!D22)*('National CEA estimate'!C70)*M86)</f>
        <v>7.345831617904046E-7</v>
      </c>
      <c r="N102" s="172"/>
      <c r="O102" s="181">
        <f>(('National CEA estimate'!C22)*('National CEA estimate'!C70)*O86)</f>
        <v>4.3695493676714675E-5</v>
      </c>
      <c r="P102" s="172">
        <f>(('National CEA estimate'!D22)*('National CEA estimate'!C70)*P86)</f>
        <v>9.3844938790372178E-7</v>
      </c>
      <c r="Q102" s="172"/>
      <c r="R102" s="181">
        <f>(('National CEA estimate'!C22)*('National CEA estimate'!C70)*R86)</f>
        <v>3.4082485067837436E-5</v>
      </c>
      <c r="S102" s="172">
        <f>(('National CEA estimate'!D22)*('National CEA estimate'!C70)*S86)</f>
        <v>1.07702042518142E-6</v>
      </c>
      <c r="T102" s="172"/>
      <c r="U102" s="173">
        <f>(('National CEA estimate'!C22)*('National CEA estimate'!C70)*U86)</f>
        <v>3.8277252460802046E-5</v>
      </c>
      <c r="V102" s="172">
        <f>(('National CEA estimate'!D22)*('National CEA estimate'!C70)*V86)</f>
        <v>8.8150348036539368E-7</v>
      </c>
      <c r="W102" s="172"/>
      <c r="X102" s="173">
        <f>(('National CEA estimate'!C22)*('National CEA estimate'!C70)*X86)</f>
        <v>6.2746728919762276E-5</v>
      </c>
      <c r="Y102" s="172">
        <f>(('National CEA estimate'!D22)*('National CEA estimate'!C70)*Y86)</f>
        <v>1.9828222186673322E-6</v>
      </c>
      <c r="Z102" s="172"/>
    </row>
    <row r="103" spans="1:29" ht="12.75" x14ac:dyDescent="0.2">
      <c r="A103" s="35" t="s">
        <v>52</v>
      </c>
      <c r="C103" s="172">
        <f>(('National CEA estimate'!C23)*('National CEA estimate'!C71)*C87)</f>
        <v>3.3442911741624481E-6</v>
      </c>
      <c r="D103" s="172">
        <f>(('National CEA estimate'!D23)*('National CEA estimate'!C71)*D87)</f>
        <v>2.2066870790822598E-6</v>
      </c>
      <c r="E103" s="172">
        <f>(('National CEA estimate'!E23)*('National CEA estimate'!C71)*E87)</f>
        <v>1.7293074856714865E-6</v>
      </c>
      <c r="F103" s="173">
        <f>(('National CEA estimate'!C23)*('National CEA estimate'!C71)*F87)</f>
        <v>7.1470969908835744E-7</v>
      </c>
      <c r="G103" s="172">
        <f>(('National CEA estimate'!D23)*('National CEA estimate'!C71)*G87)</f>
        <v>1.2773535047536619E-6</v>
      </c>
      <c r="H103" s="172">
        <f>(('National CEA estimate'!E23)*('National CEA estimate'!C71)*H87)</f>
        <v>2.7371860816149904E-6</v>
      </c>
      <c r="I103" s="173">
        <f>(('National CEA estimate'!C23)*('National CEA estimate'!C71)*I87)</f>
        <v>1.8483871528147201E-6</v>
      </c>
      <c r="J103" s="172">
        <f>(('National CEA estimate'!D23)*('National CEA estimate'!C71)*J87)</f>
        <v>1.3303631630303277E-6</v>
      </c>
      <c r="K103" s="182">
        <f>(('National CEA estimate'!E23)*('National CEA estimate'!C71)*K87)</f>
        <v>1.1139710797270309E-6</v>
      </c>
      <c r="L103" s="173">
        <f>(('National CEA estimate'!C23)*('National CEA estimate'!C71)*L87)</f>
        <v>1.2749058819620239E-6</v>
      </c>
      <c r="M103" s="172">
        <f>(('National CEA estimate'!D23)*('National CEA estimate'!C71)*M87)</f>
        <v>1.4407359297802936E-6</v>
      </c>
      <c r="N103" s="182">
        <f>(('National CEA estimate'!E23)*('National CEA estimate'!C71)*N87)</f>
        <v>1.9521017016168929E-6</v>
      </c>
      <c r="O103" s="173">
        <f>(('National CEA estimate'!C23)*('National CEA estimate'!C71)*O87)</f>
        <v>6.1813505249943459E-6</v>
      </c>
      <c r="P103" s="172">
        <f>(('National CEA estimate'!D23)*('National CEA estimate'!C71)*P87)</f>
        <v>3.8686807129738535E-6</v>
      </c>
      <c r="Q103" s="182">
        <f>(('National CEA estimate'!E23)*('National CEA estimate'!C71)*Q87)</f>
        <v>2.8963248072902807E-6</v>
      </c>
      <c r="R103" s="173">
        <f>(('National CEA estimate'!C23)*('National CEA estimate'!C71)*R87)</f>
        <v>2.3435829667781054E-6</v>
      </c>
      <c r="S103" s="172">
        <f>(('National CEA estimate'!D23)*('National CEA estimate'!C71)*S87)</f>
        <v>2.792354173182424E-6</v>
      </c>
      <c r="T103" s="172">
        <f>(('National CEA estimate'!E23)*('National CEA estimate'!C71)*T87)</f>
        <v>3.9890773902606066E-6</v>
      </c>
      <c r="U103" s="173">
        <f>(('National CEA estimate'!C23)*('National CEA estimate'!C71)*U87)</f>
        <v>6.4650564600775342E-6</v>
      </c>
      <c r="V103" s="172">
        <f>(('National CEA estimate'!D23)*('National CEA estimate'!C71)*V87)</f>
        <v>4.0348800763630123E-6</v>
      </c>
      <c r="W103" s="172">
        <f>(('National CEA estimate'!E23)*('National CEA estimate'!C71)*W87)</f>
        <v>3.0130265394521602E-6</v>
      </c>
      <c r="X103" s="173">
        <f>(('National CEA estimate'!C23)*('National CEA estimate'!C71)*X87)</f>
        <v>3.0945570057779237E-6</v>
      </c>
      <c r="Y103" s="172">
        <f>(('National CEA estimate'!D23)*('National CEA estimate'!C71)*Y87)</f>
        <v>2.851765964101199E-6</v>
      </c>
      <c r="Z103" s="172">
        <f>(('National CEA estimate'!E23)*('National CEA estimate'!C71)*Z87)</f>
        <v>3.1509467683707451E-6</v>
      </c>
    </row>
    <row r="104" spans="1:29" ht="12.75" x14ac:dyDescent="0.2">
      <c r="A104" s="35" t="s">
        <v>55</v>
      </c>
      <c r="C104" s="172">
        <f>(('National CEA estimate'!C24)*('National CEA estimate'!C72)*C88)</f>
        <v>1.5924412218328196E-6</v>
      </c>
      <c r="D104" s="172">
        <f>(('National CEA estimate'!D24)*('National CEA estimate'!C72)*D88)</f>
        <v>1.0507516497263454E-6</v>
      </c>
      <c r="E104" s="172">
        <f>(('National CEA estimate'!E24)*('National CEA estimate'!C72)*E88)</f>
        <v>8.2343922284129949E-7</v>
      </c>
      <c r="F104" s="173">
        <f>(('National CEA estimate'!C24)*('National CEA estimate'!C72)*F88)</f>
        <v>3.4032120027858144E-7</v>
      </c>
      <c r="G104" s="172">
        <f>(('National CEA estimate'!D24)*('National CEA estimate'!C72)*G88)</f>
        <v>6.0823363454044417E-7</v>
      </c>
      <c r="H104" s="172">
        <f>(('National CEA estimate'!E24)*('National CEA estimate'!C72)*H88)</f>
        <v>1.3033577883009524E-6</v>
      </c>
      <c r="I104" s="173">
        <f>(('National CEA estimate'!C24)*('National CEA estimate'!C72)*I88)</f>
        <v>8.8014103520322908E-7</v>
      </c>
      <c r="J104" s="172">
        <f>(('National CEA estimate'!D24)*('National CEA estimate'!C72)*J88)</f>
        <v>6.3347508649510992E-7</v>
      </c>
      <c r="K104" s="172">
        <f>(('National CEA estimate'!E24)*('National CEA estimate'!C72)*K88)</f>
        <v>5.3043630919224793E-7</v>
      </c>
      <c r="L104" s="173">
        <f>(('National CEA estimate'!C24)*('National CEA estimate'!C72)*L88)</f>
        <v>6.0706815724617793E-7</v>
      </c>
      <c r="M104" s="172">
        <f>(('National CEA estimate'!D24)*('National CEA estimate'!C72)*M88)</f>
        <v>6.8603095988864073E-7</v>
      </c>
      <c r="N104" s="172">
        <f>(('National CEA estimate'!E24)*('National CEA estimate'!C72)*N88)</f>
        <v>9.2952648467974912E-7</v>
      </c>
      <c r="O104" s="173">
        <f>(('National CEA estimate'!C24)*('National CEA estimate'!C72)*O88)</f>
        <v>2.9433553688889394E-6</v>
      </c>
      <c r="P104" s="172">
        <f>(('National CEA estimate'!D24)*('National CEA estimate'!C72)*P88)</f>
        <v>1.8421382351648949E-6</v>
      </c>
      <c r="Q104" s="172">
        <f>(('National CEA estimate'!E24)*('National CEA estimate'!C72)*Q88)</f>
        <v>1.3791344038998448E-6</v>
      </c>
      <c r="R104" s="173">
        <f>(('National CEA estimate'!C24)*('National CEA estimate'!C72)*R88)</f>
        <v>1.1159369590530242E-6</v>
      </c>
      <c r="S104" s="172">
        <f>(('National CEA estimate'!D24)*('National CEA estimate'!C72)*S88)</f>
        <v>1.3296270150419014E-6</v>
      </c>
      <c r="T104" s="172">
        <f>(('National CEA estimate'!E24)*('National CEA estimate'!C72)*T88)</f>
        <v>1.8994671643455741E-6</v>
      </c>
      <c r="U104" s="173">
        <f>(('National CEA estimate'!C24)*('National CEA estimate'!C72)*U88)</f>
        <v>3.0784467835945507E-6</v>
      </c>
      <c r="V104" s="172">
        <f>(('National CEA estimate'!D24)*('National CEA estimate'!C72)*V88)</f>
        <v>1.9212768937087494E-6</v>
      </c>
      <c r="W104" s="172">
        <f>(('National CEA estimate'!E24)*('National CEA estimate'!C72)*W88)</f>
        <v>1.4347039220056995E-6</v>
      </c>
      <c r="X104" s="173">
        <f>(('National CEA estimate'!C24)*('National CEA estimate'!C72)*X88)</f>
        <v>1.4735260426438386E-6</v>
      </c>
      <c r="Y104" s="172">
        <f>(('National CEA estimate'!D24)*('National CEA estimate'!C72)*Y88)</f>
        <v>1.3579169515321547E-6</v>
      </c>
      <c r="Z104" s="172">
        <f>(('National CEA estimate'!E24)*('National CEA estimate'!C72)*Z88)</f>
        <v>1.500376988858073E-6</v>
      </c>
    </row>
    <row r="105" spans="1:29" ht="12.75" x14ac:dyDescent="0.2">
      <c r="A105" s="35" t="s">
        <v>62</v>
      </c>
      <c r="C105" s="172">
        <f>(('National CEA estimate'!C25)*('National CEA estimate'!C73)*C89)</f>
        <v>1.5058983414188975E-7</v>
      </c>
      <c r="D105" s="172">
        <f>(('National CEA estimate'!D25)*('National CEA estimate'!C73)*D89)</f>
        <v>2.2238776363336145E-7</v>
      </c>
      <c r="E105" s="172">
        <f>(('National CEA estimate'!E25)*('National CEA estimate'!C73)*E89)</f>
        <v>1.52493176090127E-7</v>
      </c>
      <c r="F105" s="173">
        <f>(('National CEA estimate'!C25)*('National CEA estimate'!C73)*F89)</f>
        <v>3.2182608941719993E-8</v>
      </c>
      <c r="G105" s="172">
        <f>(('National CEA estimate'!D25)*('National CEA estimate'!C73)*G89)</f>
        <v>1.2873043576688013E-7</v>
      </c>
      <c r="H105" s="172">
        <f>(('National CEA estimate'!E25)*('National CEA estimate'!C73)*H89)</f>
        <v>2.4136956706290036E-7</v>
      </c>
      <c r="I105" s="173">
        <f>(('National CEA estimate'!C25)*('National CEA estimate'!C73)*I89)</f>
        <v>8.3230885194103561E-8</v>
      </c>
      <c r="J105" s="172">
        <f>(('National CEA estimate'!D25)*('National CEA estimate'!C73)*J89)</f>
        <v>1.3407269723515286E-7</v>
      </c>
      <c r="K105" s="174">
        <f>(('National CEA estimate'!E25)*('National CEA estimate'!C73)*K89)</f>
        <v>9.8231800548854776E-8</v>
      </c>
      <c r="L105" s="173">
        <f>(('National CEA estimate'!C25)*('National CEA estimate'!C73)*L89)</f>
        <v>5.7407640457402071E-8</v>
      </c>
      <c r="M105" s="172">
        <f>(('National CEA estimate'!D25)*('National CEA estimate'!C73)*M89)</f>
        <v>1.4519595662078346E-7</v>
      </c>
      <c r="N105" s="174">
        <f>(('National CEA estimate'!E25)*('National CEA estimate'!C73)*N89)</f>
        <v>1.7213953619989796E-7</v>
      </c>
      <c r="O105" s="173">
        <f>(('National CEA estimate'!C25)*('National CEA estimate'!C73)*O89)</f>
        <v>2.7833956490493246E-7</v>
      </c>
      <c r="P105" s="172">
        <f>(('National CEA estimate'!D25)*('National CEA estimate'!C73)*P89)</f>
        <v>3.8988185507823964E-7</v>
      </c>
      <c r="Q105" s="174">
        <f>(('National CEA estimate'!E25)*('National CEA estimate'!C73)*Q89)</f>
        <v>2.5540268142702246E-7</v>
      </c>
      <c r="R105" s="173">
        <f>(('National CEA estimate'!C25)*('National CEA estimate'!C73)*R89)</f>
        <v>1.0552902001819825E-7</v>
      </c>
      <c r="S105" s="172">
        <f>(('National CEA estimate'!D25)*('National CEA estimate'!C73)*S89)</f>
        <v>2.8141072004852868E-7</v>
      </c>
      <c r="T105" s="172">
        <f>(('National CEA estimate'!E25)*('National CEA estimate'!C73)*T89)</f>
        <v>3.5176340006066103E-7</v>
      </c>
      <c r="U105" s="173">
        <f>(('National CEA estimate'!C25)*('National CEA estimate'!C73)*U89)</f>
        <v>2.911145379812367E-7</v>
      </c>
      <c r="V105" s="172">
        <f>(('National CEA estimate'!D25)*('National CEA estimate'!C73)*V89)</f>
        <v>4.0663126422272743E-7</v>
      </c>
      <c r="W105" s="172">
        <f>(('National CEA estimate'!E25)*('National CEA estimate'!C73)*W89)</f>
        <v>2.65693631960712E-7</v>
      </c>
      <c r="X105" s="173">
        <f>(('National CEA estimate'!C25)*('National CEA estimate'!C73)*X89)</f>
        <v>1.3934457317683432E-7</v>
      </c>
      <c r="Y105" s="172">
        <f>(('National CEA estimate'!D25)*('National CEA estimate'!C73)*Y89)</f>
        <v>2.873981821772208E-7</v>
      </c>
      <c r="Z105" s="172">
        <f>(('National CEA estimate'!E25)*('National CEA estimate'!C73)*Z89)</f>
        <v>2.7785566440961785E-7</v>
      </c>
    </row>
    <row r="106" spans="1:29" ht="12.75" x14ac:dyDescent="0.2">
      <c r="A106" s="29" t="s">
        <v>70</v>
      </c>
      <c r="C106" s="172">
        <f>(('National CEA estimate'!C26)*('National CEA estimate'!C74)*C90)</f>
        <v>0</v>
      </c>
      <c r="D106" s="172"/>
      <c r="E106" s="172"/>
      <c r="F106" s="173">
        <f>(('National CEA estimate'!C26)*('National CEA estimate'!C74)*F90)</f>
        <v>0</v>
      </c>
      <c r="G106" s="172"/>
      <c r="H106" s="172"/>
      <c r="I106" s="173">
        <f>(('National CEA estimate'!C26)*('National CEA estimate'!C74)*I90)</f>
        <v>0</v>
      </c>
      <c r="J106" s="172"/>
      <c r="K106" s="172"/>
      <c r="L106" s="173">
        <f>(('National CEA estimate'!C26)*('National CEA estimate'!C74)*L90)</f>
        <v>0</v>
      </c>
      <c r="M106" s="172"/>
      <c r="N106" s="172"/>
      <c r="O106" s="173">
        <f>(('National CEA estimate'!C26)*('National CEA estimate'!C74)*O90)</f>
        <v>0</v>
      </c>
      <c r="P106" s="172"/>
      <c r="Q106" s="172"/>
      <c r="R106" s="173">
        <f>(('National CEA estimate'!C26)*('National CEA estimate'!C74)*R90)</f>
        <v>0</v>
      </c>
      <c r="S106" s="172"/>
      <c r="T106" s="172"/>
      <c r="U106" s="173">
        <f>(('National CEA estimate'!C26)*('National CEA estimate'!C74)*U90)</f>
        <v>0</v>
      </c>
      <c r="V106" s="172"/>
      <c r="W106" s="172"/>
      <c r="X106" s="173">
        <f>(('National CEA estimate'!C26)*('National CEA estimate'!C74)*X90)</f>
        <v>0</v>
      </c>
      <c r="Y106" s="172"/>
      <c r="Z106" s="172"/>
    </row>
    <row r="107" spans="1:29" ht="12.75" x14ac:dyDescent="0.2">
      <c r="A107" s="35" t="s">
        <v>88</v>
      </c>
      <c r="C107" s="172">
        <f>(('National CEA estimate'!C27)*('National CEA estimate'!C75)*C86)</f>
        <v>6.6328342782403165E-7</v>
      </c>
      <c r="D107" s="172">
        <f>(('National CEA estimate'!D27)*('National CEA estimate'!C75)*C86)</f>
        <v>7.0229597041894962E-7</v>
      </c>
      <c r="E107" s="172">
        <f>(('National CEA estimate'!E27)*('National CEA estimate'!C75)*C86)</f>
        <v>1.5605952823499123E-7</v>
      </c>
      <c r="F107" s="173">
        <f>(('National CEA estimate'!C27)*('National CEA estimate'!C75)*F86)</f>
        <v>1.0821992769760523E-6</v>
      </c>
      <c r="G107" s="172">
        <f>(('National CEA estimate'!D27)*('National CEA estimate'!C75)*F86)</f>
        <v>1.1458513201572342E-6</v>
      </c>
      <c r="H107" s="172">
        <f>(('National CEA estimate'!E27)*('National CEA estimate'!C75)*F86)</f>
        <v>2.5462344080445951E-7</v>
      </c>
      <c r="I107" s="173">
        <f>(('National CEA estimate'!C27)*('National CEA estimate'!C75)*I86)</f>
        <v>5.7251832717442728E-7</v>
      </c>
      <c r="J107" s="172">
        <f>(('National CEA estimate'!D27)*('National CEA estimate'!C75)*I86)</f>
        <v>6.0619231130898806E-7</v>
      </c>
      <c r="K107" s="172">
        <f>(('National CEA estimate'!E27)*('National CEA estimate'!C75)*I86)</f>
        <v>1.347040138449398E-7</v>
      </c>
      <c r="L107" s="173">
        <f>(('National CEA estimate'!C27)*('National CEA estimate'!C75)*L86)</f>
        <v>9.2859679895364477E-7</v>
      </c>
      <c r="M107" s="172">
        <f>(('National CEA estimate'!D27)*('National CEA estimate'!C75)*L86)</f>
        <v>9.8321435858653004E-7</v>
      </c>
      <c r="N107" s="172">
        <f>(('National CEA estimate'!E27)*('National CEA estimate'!C75)*L86)</f>
        <v>2.1848333952898785E-7</v>
      </c>
      <c r="O107" s="173">
        <f>(('National CEA estimate'!C27)*('National CEA estimate'!C75)*O86)</f>
        <v>1.745482704800084E-6</v>
      </c>
      <c r="P107" s="172">
        <f>(('National CEA estimate'!D27)*('National CEA estimate'!C75)*O86)</f>
        <v>1.848147290576184E-6</v>
      </c>
      <c r="Q107" s="172">
        <f>(('National CEA estimate'!E27)*('National CEA estimate'!C75)*O86)</f>
        <v>4.1068296903945076E-7</v>
      </c>
      <c r="R107" s="173">
        <f>(('National CEA estimate'!C27)*('National CEA estimate'!C75)*R86)</f>
        <v>1.3614765097440649E-6</v>
      </c>
      <c r="S107" s="172">
        <f>(('National CEA estimate'!D27)*('National CEA estimate'!C75)*R86)</f>
        <v>1.441554886649423E-6</v>
      </c>
      <c r="T107" s="172">
        <f>(('National CEA estimate'!E27)*('National CEA estimate'!C75)*R86)</f>
        <v>3.203327158507715E-7</v>
      </c>
      <c r="U107" s="173">
        <f>(('National CEA estimate'!C27)*('National CEA estimate'!C75)*U86)</f>
        <v>1.5290428494048733E-6</v>
      </c>
      <c r="V107" s="172">
        <f>(('National CEA estimate'!D27)*('National CEA estimate'!C75)*U86)</f>
        <v>1.6189770265447368E-6</v>
      </c>
      <c r="W107" s="172">
        <f>(('National CEA estimate'!E27)*('National CEA estimate'!C75)*U86)</f>
        <v>3.5975828087855882E-7</v>
      </c>
      <c r="X107" s="173">
        <f>(('National CEA estimate'!C27)*('National CEA estimate'!C75)*X86)</f>
        <v>2.5065131640929207E-6</v>
      </c>
      <c r="Y107" s="172">
        <f>(('National CEA estimate'!D27)*('National CEA estimate'!C75)*X86)</f>
        <v>2.6539395092674E-6</v>
      </c>
      <c r="Z107" s="172">
        <f>(('National CEA estimate'!E27)*('National CEA estimate'!C75)*X86)</f>
        <v>5.8974074354065132E-7</v>
      </c>
    </row>
    <row r="108" spans="1:29" ht="12.75" x14ac:dyDescent="0.2">
      <c r="A108" s="35" t="s">
        <v>91</v>
      </c>
      <c r="C108" s="172">
        <f>(('National CEA estimate'!C28)*('National CEA estimate'!C76)*C86)</f>
        <v>5.2492438764312245E-6</v>
      </c>
      <c r="D108" s="172">
        <f>(('National CEA estimate'!D28)*('National CEA estimate'!C76)*C86)</f>
        <v>7.8637840402362874E-7</v>
      </c>
      <c r="E108" s="172">
        <f>(('National CEA estimate'!E28)*('National CEA estimate'!C76)*C86)</f>
        <v>3.2261678113789769E-7</v>
      </c>
      <c r="F108" s="173">
        <f>(('National CEA estimate'!C28)*('National CEA estimate'!C76)*F86)</f>
        <v>8.5645557983877921E-6</v>
      </c>
      <c r="G108" s="172">
        <f>(('National CEA estimate'!D28)*('National CEA estimate'!C76)*F86)</f>
        <v>1.283038448670132E-6</v>
      </c>
      <c r="H108" s="172">
        <f>(('National CEA estimate'!E28)*('National CEA estimate'!C76)*F86)</f>
        <v>5.263747481723597E-7</v>
      </c>
      <c r="I108" s="173">
        <f>(('National CEA estimate'!C28)*('National CEA estimate'!C76)*I86)</f>
        <v>4.5309262933406365E-6</v>
      </c>
      <c r="J108" s="172">
        <f>(('National CEA estimate'!D28)*('National CEA estimate'!C76)*I86)</f>
        <v>6.7876872768355328E-7</v>
      </c>
      <c r="K108" s="172">
        <f>(('National CEA estimate'!E28)*('National CEA estimate'!C76)*I86)</f>
        <v>2.7846922161376432E-7</v>
      </c>
      <c r="L108" s="173">
        <f>(('National CEA estimate'!C28)*('National CEA estimate'!C76)*L86)</f>
        <v>7.348941427003719E-6</v>
      </c>
      <c r="M108" s="172">
        <f>(('National CEA estimate'!D28)*('National CEA estimate'!C76)*L86)</f>
        <v>1.1009297656330809E-6</v>
      </c>
      <c r="N108" s="172">
        <f>(('National CEA estimate'!E28)*('National CEA estimate'!C76)*L86)</f>
        <v>4.5166349359305703E-7</v>
      </c>
      <c r="O108" s="173">
        <f>(('National CEA estimate'!C28)*('National CEA estimate'!C76)*O86)</f>
        <v>1.3813799674819018E-5</v>
      </c>
      <c r="P108" s="172">
        <f>(('National CEA estimate'!D28)*('National CEA estimate'!C76)*O86)</f>
        <v>2.0694168526937608E-6</v>
      </c>
      <c r="Q108" s="172">
        <f>(('National CEA estimate'!E28)*('National CEA estimate'!C76)*O86)</f>
        <v>8.489915293102575E-7</v>
      </c>
      <c r="R108" s="173">
        <f>(('National CEA estimate'!C28)*('National CEA estimate'!C76)*R86)</f>
        <v>1.077476374635883E-5</v>
      </c>
      <c r="S108" s="172">
        <f>(('National CEA estimate'!D28)*('National CEA estimate'!C76)*R86)</f>
        <v>1.6141451451011329E-6</v>
      </c>
      <c r="T108" s="172">
        <f>(('National CEA estimate'!E28)*('National CEA estimate'!C76)*R86)</f>
        <v>6.6221339286200062E-7</v>
      </c>
      <c r="U108" s="173">
        <f>(('National CEA estimate'!C28)*('National CEA estimate'!C76)*U86)</f>
        <v>1.2100888515141457E-5</v>
      </c>
      <c r="V108" s="172">
        <f>(('National CEA estimate'!D28)*('National CEA estimate'!C76)*U86)</f>
        <v>1.8128091629597341E-6</v>
      </c>
      <c r="W108" s="172">
        <f>(('National CEA estimate'!E28)*('National CEA estimate'!C76)*U86)</f>
        <v>7.4371657967578541E-7</v>
      </c>
      <c r="X108" s="173">
        <f>(('National CEA estimate'!C28)*('National CEA estimate'!C76)*X86)</f>
        <v>1.983661633304011E-5</v>
      </c>
      <c r="Y108" s="172">
        <f>(('National CEA estimate'!D28)*('National CEA estimate'!C76)*X86)</f>
        <v>2.9716826004682405E-6</v>
      </c>
      <c r="Z108" s="172">
        <f>(('National CEA estimate'!E28)*('National CEA estimate'!C76)*X86)</f>
        <v>1.2191518360895298E-6</v>
      </c>
    </row>
    <row r="109" spans="1:29" ht="12.75" x14ac:dyDescent="0.2">
      <c r="A109" s="35" t="s">
        <v>93</v>
      </c>
      <c r="C109" s="172">
        <f>(('National CEA estimate'!C28)*('National CEA estimate'!C77)*C86)</f>
        <v>3.8195010429591473E-7</v>
      </c>
      <c r="D109" s="172">
        <f>(('National CEA estimate'!D28)*('National CEA estimate'!C77)*C86)</f>
        <v>5.7219157749836212E-8</v>
      </c>
      <c r="E109" s="172">
        <f>(('National CEA estimate'!E28)*('National CEA estimate'!C77)*C86)</f>
        <v>2.3474526256342962E-8</v>
      </c>
      <c r="F109" s="173">
        <f>(('National CEA estimate'!C28)*('National CEA estimate'!C77)*F86)</f>
        <v>6.2318174911438756E-7</v>
      </c>
      <c r="G109" s="172">
        <f>(('National CEA estimate'!D28)*('National CEA estimate'!C77)*F86)</f>
        <v>9.3357573170785447E-8</v>
      </c>
      <c r="H109" s="172">
        <f>(('National CEA estimate'!E28)*('National CEA estimate'!C77)*F86)</f>
        <v>3.8300542839296432E-8</v>
      </c>
      <c r="I109" s="173">
        <f>(('National CEA estimate'!C28)*('National CEA estimate'!C77)*I86)</f>
        <v>3.2968324791857901E-7</v>
      </c>
      <c r="J109" s="172">
        <f>(('National CEA estimate'!D28)*('National CEA estimate'!C77)*I86)</f>
        <v>4.9389167741963887E-8</v>
      </c>
      <c r="K109" s="172">
        <f>(('National CEA estimate'!E28)*('National CEA estimate'!C77)*I86)</f>
        <v>2.0262222663369716E-8</v>
      </c>
      <c r="L109" s="173">
        <f>(('National CEA estimate'!C28)*('National CEA estimate'!C77)*L86)</f>
        <v>5.3473014601428089E-7</v>
      </c>
      <c r="M109" s="172">
        <f>(('National CEA estimate'!D28)*('National CEA estimate'!C77)*L86)</f>
        <v>8.0106820849770742E-8</v>
      </c>
      <c r="N109" s="172">
        <f>(('National CEA estimate'!E28)*('National CEA estimate'!C77)*L86)</f>
        <v>3.2864336758880167E-8</v>
      </c>
      <c r="O109" s="173">
        <f>(('National CEA estimate'!C28)*('National CEA estimate'!C77)*O86)</f>
        <v>1.0051318534103023E-6</v>
      </c>
      <c r="P109" s="172">
        <f>(('National CEA estimate'!D28)*('National CEA estimate'!C77)*O86)</f>
        <v>1.5057673092062167E-7</v>
      </c>
      <c r="Q109" s="172">
        <f>(('National CEA estimate'!E28)*('National CEA estimate'!C77)*O86)</f>
        <v>6.1775069095639398E-8</v>
      </c>
      <c r="R109" s="173">
        <f>(('National CEA estimate'!C28)*('National CEA estimate'!C77)*R86)</f>
        <v>7.8400284566003558E-7</v>
      </c>
      <c r="S109" s="172">
        <f>(('National CEA estimate'!D28)*('National CEA estimate'!C77)*R86)</f>
        <v>1.1744985011808486E-7</v>
      </c>
      <c r="T109" s="172">
        <f>(('National CEA estimate'!E28)*('National CEA estimate'!C77)*R86)</f>
        <v>4.8184553894598715E-8</v>
      </c>
      <c r="U109" s="173">
        <f>(('National CEA estimate'!C28)*('National CEA estimate'!C77)*U86)</f>
        <v>8.8049550358742462E-7</v>
      </c>
      <c r="V109" s="172">
        <f>(('National CEA estimate'!D28)*('National CEA estimate'!C77)*U86)</f>
        <v>1.3190521628646456E-7</v>
      </c>
      <c r="W109" s="172">
        <f>(('National CEA estimate'!E28)*('National CEA estimate'!C77)*U86)</f>
        <v>5.4114960527780101E-8</v>
      </c>
      <c r="X109" s="173">
        <f>(('National CEA estimate'!C28)*('National CEA estimate'!C77)*X86)</f>
        <v>1.4433693414971942E-6</v>
      </c>
      <c r="Y109" s="172">
        <f>(('National CEA estimate'!D28)*('National CEA estimate'!C77)*X86)</f>
        <v>2.1622818560201271E-7</v>
      </c>
      <c r="Z109" s="172">
        <f>(('National CEA estimate'!E28)*('National CEA estimate'!C77)*X86)</f>
        <v>8.870899922133818E-8</v>
      </c>
    </row>
    <row r="110" spans="1:29" ht="12.75" x14ac:dyDescent="0.2">
      <c r="A110" s="35" t="s">
        <v>95</v>
      </c>
      <c r="C110" s="172">
        <f>(('National CEA estimate'!C30)*('National CEA estimate'!C78)*C86)</f>
        <v>2.0993531223303413E-6</v>
      </c>
      <c r="D110" s="172"/>
      <c r="E110" s="172"/>
      <c r="F110" s="173">
        <f>(('National CEA estimate'!C30)*('National CEA estimate'!C78)*F86)</f>
        <v>3.4252603574863482E-6</v>
      </c>
      <c r="G110" s="172"/>
      <c r="H110" s="172"/>
      <c r="I110" s="173"/>
      <c r="J110" s="172"/>
      <c r="K110" s="172"/>
      <c r="L110" s="173"/>
      <c r="M110" s="172"/>
      <c r="N110" s="172"/>
      <c r="O110" s="173"/>
      <c r="P110" s="172"/>
      <c r="Q110" s="172"/>
      <c r="R110" s="173"/>
      <c r="S110" s="172"/>
      <c r="T110" s="172"/>
      <c r="U110" s="173"/>
      <c r="V110" s="172"/>
      <c r="W110" s="172"/>
      <c r="X110" s="173"/>
      <c r="Y110" s="172"/>
      <c r="Z110" s="172"/>
    </row>
    <row r="111" spans="1:29" ht="12.75" x14ac:dyDescent="0.2">
      <c r="A111" s="35" t="s">
        <v>98</v>
      </c>
      <c r="C111" s="172">
        <f>(('National CEA estimate'!C31)*('National CEA estimate'!C79)*C90)</f>
        <v>0</v>
      </c>
      <c r="D111" s="172"/>
      <c r="E111" s="172"/>
      <c r="F111" s="173">
        <f>(('National CEA estimate'!C31)*('National CEA estimate'!C79)*F90)</f>
        <v>0</v>
      </c>
      <c r="G111" s="172"/>
      <c r="H111" s="172"/>
      <c r="I111" s="173">
        <f>(('National CEA estimate'!C31)*('National CEA estimate'!C79)*I90)</f>
        <v>0</v>
      </c>
      <c r="J111" s="172"/>
      <c r="K111" s="172"/>
      <c r="L111" s="173">
        <f>(('National CEA estimate'!C31)*('National CEA estimate'!C79)*L90)</f>
        <v>0</v>
      </c>
      <c r="M111" s="172"/>
      <c r="N111" s="172"/>
      <c r="O111" s="173">
        <f>(('National CEA estimate'!C31)*('National CEA estimate'!C79)*O90)</f>
        <v>0</v>
      </c>
      <c r="P111" s="172"/>
      <c r="Q111" s="172"/>
      <c r="R111" s="173">
        <f>(('National CEA estimate'!C31)*('National CEA estimate'!C79)*R90)</f>
        <v>0</v>
      </c>
      <c r="S111" s="172"/>
      <c r="T111" s="172"/>
      <c r="U111" s="173">
        <f>(('National CEA estimate'!C31)*('National CEA estimate'!C79)*U90)</f>
        <v>0</v>
      </c>
      <c r="V111" s="172"/>
      <c r="W111" s="172"/>
      <c r="X111" s="173">
        <f>(('National CEA estimate'!C31)*('National CEA estimate'!C79)*X90)</f>
        <v>0</v>
      </c>
      <c r="Y111" s="172"/>
      <c r="Z111" s="172"/>
    </row>
    <row r="112" spans="1:29" ht="12.75" x14ac:dyDescent="0.2">
      <c r="A112" s="1"/>
      <c r="F112" s="13"/>
      <c r="I112" s="13"/>
      <c r="L112" s="13"/>
      <c r="O112" s="13"/>
      <c r="R112" s="13"/>
      <c r="U112" s="13"/>
      <c r="X112" s="13"/>
    </row>
    <row r="113" spans="1:29" ht="25.5" x14ac:dyDescent="0.2">
      <c r="A113" s="12" t="s">
        <v>341</v>
      </c>
      <c r="B113" s="111"/>
      <c r="C113" s="111"/>
      <c r="D113" s="111"/>
      <c r="E113" s="111"/>
      <c r="F113" s="150"/>
      <c r="G113" s="137"/>
      <c r="H113" s="137"/>
      <c r="I113" s="150"/>
      <c r="J113" s="137"/>
      <c r="K113" s="137"/>
      <c r="L113" s="150"/>
      <c r="M113" s="137"/>
      <c r="N113" s="137"/>
      <c r="O113" s="151"/>
      <c r="P113" s="111"/>
      <c r="Q113" s="111"/>
      <c r="R113" s="151"/>
      <c r="S113" s="111"/>
      <c r="T113" s="111"/>
      <c r="U113" s="151"/>
      <c r="V113" s="111"/>
      <c r="W113" s="111"/>
      <c r="X113" s="151"/>
      <c r="Y113" s="111"/>
      <c r="Z113" s="111"/>
      <c r="AA113" s="111"/>
      <c r="AB113" s="111"/>
      <c r="AC113" s="111"/>
    </row>
    <row r="114" spans="1:29" ht="38.25" x14ac:dyDescent="0.2">
      <c r="A114" s="27"/>
      <c r="B114" s="27"/>
      <c r="C114" s="26" t="s">
        <v>185</v>
      </c>
      <c r="D114" s="26" t="s">
        <v>186</v>
      </c>
      <c r="E114" s="26" t="s">
        <v>187</v>
      </c>
      <c r="F114" s="138" t="s">
        <v>188</v>
      </c>
      <c r="G114" s="26" t="s">
        <v>189</v>
      </c>
      <c r="H114" s="26" t="s">
        <v>190</v>
      </c>
      <c r="I114" s="138" t="s">
        <v>191</v>
      </c>
      <c r="J114" s="26" t="s">
        <v>192</v>
      </c>
      <c r="K114" s="26" t="s">
        <v>193</v>
      </c>
      <c r="L114" s="138" t="s">
        <v>194</v>
      </c>
      <c r="M114" s="26" t="s">
        <v>195</v>
      </c>
      <c r="N114" s="26" t="s">
        <v>196</v>
      </c>
      <c r="O114" s="138" t="s">
        <v>198</v>
      </c>
      <c r="P114" s="26" t="s">
        <v>199</v>
      </c>
      <c r="Q114" s="26" t="s">
        <v>200</v>
      </c>
      <c r="R114" s="138" t="s">
        <v>207</v>
      </c>
      <c r="S114" s="26" t="s">
        <v>208</v>
      </c>
      <c r="T114" s="26" t="s">
        <v>209</v>
      </c>
      <c r="U114" s="138" t="s">
        <v>210</v>
      </c>
      <c r="V114" s="26" t="s">
        <v>211</v>
      </c>
      <c r="W114" s="26" t="s">
        <v>212</v>
      </c>
      <c r="X114" s="138" t="s">
        <v>213</v>
      </c>
      <c r="Y114" s="26" t="s">
        <v>214</v>
      </c>
      <c r="Z114" s="26" t="s">
        <v>215</v>
      </c>
      <c r="AA114" s="27"/>
      <c r="AB114" s="27"/>
      <c r="AC114" s="27"/>
    </row>
    <row r="115" spans="1:29" ht="12.75" x14ac:dyDescent="0.2">
      <c r="A115" s="29" t="s">
        <v>40</v>
      </c>
      <c r="C115" s="78">
        <f>(('National CEA estimate'!C19)*(Morbidity!C3)*C83)</f>
        <v>1.4150319872531206E-6</v>
      </c>
      <c r="D115" s="78">
        <f>(('National CEA estimate'!D19)*(Morbidity!C3)*D83)</f>
        <v>1.6594582802562222E-6</v>
      </c>
      <c r="E115" s="78">
        <f>(('National CEA estimate'!E19)*(Morbidity!C3)*E83)</f>
        <v>4.0458830658734249E-7</v>
      </c>
      <c r="F115" s="193">
        <f>(('National CEA estimate'!C19)*(Morbidity!C3)*F83)</f>
        <v>3.0240700738725591E-7</v>
      </c>
      <c r="G115" s="78">
        <f>(('National CEA estimate'!D19)*(Morbidity!C3)*G83)</f>
        <v>9.6058696784472924E-7</v>
      </c>
      <c r="H115" s="78">
        <f>(('National CEA estimate'!E19)*(Morbidity!C3)*H83)</f>
        <v>6.4039130735910646E-7</v>
      </c>
      <c r="I115" s="193">
        <f>(('National CEA estimate'!C19)*(Morbidity!C3)*I83)</f>
        <v>7.8208708807049057E-7</v>
      </c>
      <c r="J115" s="78">
        <f>(('National CEA estimate'!D19)*(Morbidity!C3)*J83)</f>
        <v>1.0004509418511165E-6</v>
      </c>
      <c r="K115" s="194">
        <f>(('National CEA estimate'!E19)*(Morbidity!C3)*K83)</f>
        <v>2.606243692740549E-7</v>
      </c>
      <c r="L115" s="193">
        <f>(('National CEA estimate'!C19)*(Morbidity!C3)*L83)</f>
        <v>5.3943646344287626E-7</v>
      </c>
      <c r="M115" s="78">
        <f>(('National CEA estimate'!D19)*(Morbidity!C3)*M83)</f>
        <v>1.0834527428016135E-6</v>
      </c>
      <c r="N115" s="78">
        <f>(('National CEA estimate'!E19)*(Morbidity!C3)*N83)</f>
        <v>4.5671318044215354E-7</v>
      </c>
      <c r="O115" s="193">
        <f>(('National CEA estimate'!C19)*(Morbidity!C3)*O83)</f>
        <v>2.6154447270822462E-6</v>
      </c>
      <c r="P115" s="78">
        <f>(('National CEA estimate'!D19)*(Morbidity!C3)*P83)</f>
        <v>2.9092997841279734E-6</v>
      </c>
      <c r="Q115" s="194">
        <f>(('National CEA estimate'!E19)*(Morbidity!C3)*Q83)</f>
        <v>6.7762336011254285E-7</v>
      </c>
      <c r="R115" s="193">
        <f>(('National CEA estimate'!C19)*(Morbidity!C3)*R83)</f>
        <v>9.9161367538611945E-7</v>
      </c>
      <c r="S115" s="194">
        <f>(('National CEA estimate'!D19)*(Morbidity!C3)*S83)</f>
        <v>2.0998877901721988E-6</v>
      </c>
      <c r="T115" s="194">
        <f>(('National CEA estimate'!E19)*(Morbidity!C3)*T83)</f>
        <v>9.3328345568613972E-7</v>
      </c>
      <c r="U115" s="193">
        <f>(('National CEA estimate'!C19)*(Morbidity!C3)*U83)</f>
        <v>2.7354860010651583E-6</v>
      </c>
      <c r="V115" s="78">
        <f>(('National CEA estimate'!D19)*(Morbidity!C3)*V83)</f>
        <v>3.0342839345151484E-6</v>
      </c>
      <c r="W115" s="78">
        <f>(('National CEA estimate'!E19)*(Morbidity!C3)*W83)</f>
        <v>7.0492686546506297E-7</v>
      </c>
      <c r="X115" s="193">
        <f>(('National CEA estimate'!C19)*(Morbidity!C3)*X83)</f>
        <v>1.3093648015414396E-6</v>
      </c>
      <c r="Y115" s="78">
        <f>(('National CEA estimate'!D19)*(Morbidity!C3)*Y83)</f>
        <v>2.1445662537928839E-6</v>
      </c>
      <c r="Z115" s="78">
        <f>(('National CEA estimate'!E19)*(Morbidity!C3)*Z83)</f>
        <v>7.3719464451804118E-7</v>
      </c>
    </row>
    <row r="116" spans="1:29" ht="12.75" x14ac:dyDescent="0.2">
      <c r="A116" s="195" t="s">
        <v>89</v>
      </c>
      <c r="B116" s="196"/>
      <c r="C116" s="78">
        <f>(('National CEA estimate'!C20)*(Morbidity!C4)*C83)</f>
        <v>6.7604493624943154E-11</v>
      </c>
      <c r="D116" s="78">
        <f>(('National CEA estimate'!D20)*(Morbidity!C4)*D83)</f>
        <v>7.9282191089027964E-11</v>
      </c>
      <c r="E116" s="78">
        <f>(('National CEA estimate'!E20)*(Morbidity!C4)*E83)</f>
        <v>1.932958960631455E-11</v>
      </c>
      <c r="F116" s="193">
        <f>(('National CEA estimate'!C20)*(Morbidity!C4)*F83)</f>
        <v>1.4447781242554235E-11</v>
      </c>
      <c r="G116" s="78">
        <f>(('National CEA estimate'!D20)*(Morbidity!C4)*G83)</f>
        <v>4.5892952205184084E-11</v>
      </c>
      <c r="H116" s="78">
        <f>(('National CEA estimate'!E20)*(Morbidity!C4)*H83)</f>
        <v>3.0595301340056158E-11</v>
      </c>
      <c r="I116" s="193">
        <f>(('National CEA estimate'!C20)*(Morbidity!C4)*I83)</f>
        <v>3.736495148936446E-11</v>
      </c>
      <c r="J116" s="78">
        <f>(('National CEA estimate'!D20)*(Morbidity!C4)*J83)</f>
        <v>4.7797491320355126E-11</v>
      </c>
      <c r="K116" s="78">
        <f>(('National CEA estimate'!E20)*(Morbidity!C4)*K83)</f>
        <v>1.2451576126767038E-11</v>
      </c>
      <c r="L116" s="193">
        <f>(('National CEA estimate'!C20)*(Morbidity!C4)*L83)</f>
        <v>2.5772088039280741E-11</v>
      </c>
      <c r="M116" s="78">
        <f>(('National CEA estimate'!D20)*(Morbidity!C4)*M83)</f>
        <v>5.1762980975614618E-11</v>
      </c>
      <c r="N116" s="78">
        <f>(('National CEA estimate'!E20)*(Morbidity!C4)*N83)</f>
        <v>2.1819904831667959E-11</v>
      </c>
      <c r="O116" s="193">
        <f>(('National CEA estimate'!C20)*(Morbidity!C4)*O83)</f>
        <v>1.2495534939931653E-10</v>
      </c>
      <c r="P116" s="78">
        <f>(('National CEA estimate'!D20)*(Morbidity!C4)*P83)</f>
        <v>1.3899455271926952E-10</v>
      </c>
      <c r="Q116" s="78">
        <f>(('National CEA estimate'!E20)*(Morbidity!C4)*Q83)</f>
        <v>3.2374097929594303E-11</v>
      </c>
      <c r="R116" s="193">
        <f>(('National CEA estimate'!C20)*(Morbidity!C4)*R83)</f>
        <v>4.7375282679073251E-11</v>
      </c>
      <c r="S116" s="78">
        <f>(('National CEA estimate'!D20)*(Morbidity!C4)*S83)</f>
        <v>1.0032412807644894E-10</v>
      </c>
      <c r="T116" s="78">
        <f>(('National CEA estimate'!E20)*(Morbidity!C4)*T83)</f>
        <v>4.4588501177756259E-11</v>
      </c>
      <c r="U116" s="193">
        <f>(('National CEA estimate'!C20)*(Morbidity!C4)*U83)</f>
        <v>1.3069043497675386E-10</v>
      </c>
      <c r="V116" s="78">
        <f>(('National CEA estimate'!D20)*(Morbidity!C4)*V83)</f>
        <v>1.4496578888229366E-10</v>
      </c>
      <c r="W116" s="78">
        <f>(('National CEA estimate'!E20)*(Morbidity!C4)*W83)</f>
        <v>3.3678548761922281E-11</v>
      </c>
      <c r="X116" s="193">
        <f>(('National CEA estimate'!C20)*(Morbidity!C4)*X83)</f>
        <v>6.2556143730974872E-11</v>
      </c>
      <c r="Y116" s="78">
        <f>(('National CEA estimate'!D20)*(Morbidity!C4)*D83)</f>
        <v>7.9282191089027964E-11</v>
      </c>
      <c r="Z116" s="78">
        <f>(('National CEA estimate'!E20)*(Morbidity!C4)*Z83)</f>
        <v>3.5220172472855346E-11</v>
      </c>
      <c r="AA116" s="196"/>
      <c r="AB116" s="196"/>
      <c r="AC116" s="196"/>
    </row>
    <row r="117" spans="1:29" ht="12.75" x14ac:dyDescent="0.2">
      <c r="A117" s="29" t="s">
        <v>44</v>
      </c>
      <c r="C117" s="78">
        <f>(('National CEA estimate'!C21)*(Morbidity!C5)*C83*E62)</f>
        <v>3.4587942092181848E-8</v>
      </c>
      <c r="D117" s="78">
        <f>(('National CEA estimate'!D21)*(Morbidity!C5)*D83*E62)</f>
        <v>2.2985421381292661E-8</v>
      </c>
      <c r="E117" s="78">
        <f>(('National CEA estimate'!E21)*(Morbidity!C5)*E83*E62)</f>
        <v>8.4060258635340216E-9</v>
      </c>
      <c r="F117" s="193">
        <f>(('National CEA estimate'!C21)*(Morbidity!C5)*F83*E62)</f>
        <v>7.3918018490061158E-9</v>
      </c>
      <c r="G117" s="78">
        <f>(('National CEA estimate'!D21)*(Morbidity!C5)*G83*E62)</f>
        <v>1.3305243338735955E-8</v>
      </c>
      <c r="H117" s="78">
        <f>(('National CEA estimate'!E21)*(Morbidity!C5)*H83*E62)</f>
        <v>1.3305243391360599E-8</v>
      </c>
      <c r="I117" s="193">
        <f>(('National CEA estimate'!C21)*(Morbidity!C5)*I83*E62)</f>
        <v>1.9116728919843431E-8</v>
      </c>
      <c r="J117" s="78">
        <f>(('National CEA estimate'!D21)*(Morbidity!C5)*J83*E62)</f>
        <v>1.38574056023924E-8</v>
      </c>
      <c r="K117" s="78">
        <f>(('National CEA estimate'!E21)*(Morbidity!C5)*K83*E62)</f>
        <v>5.4149246360188469E-9</v>
      </c>
      <c r="L117" s="193">
        <f>(('National CEA estimate'!C21)*(Morbidity!C5)*L83*E62)</f>
        <v>1.3185565646606147E-8</v>
      </c>
      <c r="M117" s="78">
        <f>(('National CEA estimate'!D21)*(Morbidity!C5)*M83*E62)</f>
        <v>1.5007076789039395E-8</v>
      </c>
      <c r="N117" s="78">
        <f>(('National CEA estimate'!E21)*(Morbidity!C5)*N83*E62)</f>
        <v>9.4890107907377923E-9</v>
      </c>
      <c r="O117" s="193">
        <f>(('National CEA estimate'!C21)*(Morbidity!C5)*O83*E62)</f>
        <v>6.3929898108685727E-8</v>
      </c>
      <c r="P117" s="78">
        <f>(('National CEA estimate'!D21)*(Morbidity!C5)*P83*E62)</f>
        <v>4.0297175444724173E-8</v>
      </c>
      <c r="Q117" s="78">
        <f>(('National CEA estimate'!E21)*(Morbidity!C5)*Q83*E62)</f>
        <v>1.4078804053649004E-8</v>
      </c>
      <c r="R117" s="193">
        <f>(('National CEA estimate'!C21)*(Morbidity!C5)*R83*E62)</f>
        <v>2.4238233969996829E-8</v>
      </c>
      <c r="S117" s="78">
        <f>(('National CEA estimate'!D21)*(Morbidity!C5)*S83*E62)</f>
        <v>2.9085880787004184E-8</v>
      </c>
      <c r="T117" s="78">
        <f>(('National CEA estimate'!E21)*(Morbidity!C5)*T83*E62)</f>
        <v>1.93905872680294E-8</v>
      </c>
      <c r="U117" s="193">
        <f>(('National CEA estimate'!C21)*(Morbidity!C5)*U83*E62)</f>
        <v>6.6864093710336112E-8</v>
      </c>
      <c r="V117" s="78">
        <f>(('National CEA estimate'!D21)*(Morbidity!C5)*V83*E62)</f>
        <v>4.2028350851067322E-8</v>
      </c>
      <c r="W117" s="78">
        <f>(('National CEA estimate'!E21)*(Morbidity!C5)*W83*E62)</f>
        <v>1.4646081872660502E-8</v>
      </c>
      <c r="X117" s="193">
        <f>(('National CEA estimate'!C21)*(Morbidity!C5)*X83*E62)</f>
        <v>3.2005095532271767E-8</v>
      </c>
      <c r="Y117" s="78">
        <f>(('National CEA estimate'!D21)*(Morbidity!C5)*D83*E62)</f>
        <v>2.2985421381292661E-8</v>
      </c>
      <c r="Z117" s="78">
        <f>(('National CEA estimate'!E21)*(Morbidity!C5)*Z83*E62)</f>
        <v>1.5316501113310457E-8</v>
      </c>
    </row>
    <row r="118" spans="1:29" ht="12.75" x14ac:dyDescent="0.2">
      <c r="A118" s="29" t="s">
        <v>48</v>
      </c>
      <c r="C118" s="78">
        <f>(('National CEA estimate'!C22)*(Morbidity!C6)*C86)</f>
        <v>4.4610296321877337E-7</v>
      </c>
      <c r="D118" s="78">
        <f>(('National CEA estimate'!D22)*(Morbidity!C6)*D86)</f>
        <v>1.7563316739019281E-8</v>
      </c>
      <c r="E118" s="78"/>
      <c r="F118" s="193">
        <f>(('National CEA estimate'!C22)*(Morbidity!C6)*F86)</f>
        <v>7.2785220314642012E-7</v>
      </c>
      <c r="G118" s="202">
        <f>(('National CEA estimate'!D22)*(Morbidity!C6)*G86)</f>
        <v>2.3000426399122611E-8</v>
      </c>
      <c r="H118" s="78"/>
      <c r="I118" s="203">
        <f>(('National CEA estimate'!C22)*(Morbidity!C6)*I86)</f>
        <v>3.8505729456778335E-7</v>
      </c>
      <c r="J118" s="78">
        <f>(('National CEA estimate'!D22)*(Morbidity!C6)*J86)</f>
        <v>1.6921724594246309E-8</v>
      </c>
      <c r="K118" s="78"/>
      <c r="L118" s="193">
        <f>(('National CEA estimate'!C22)*(Morbidity!C6)*L86)</f>
        <v>6.2454414850628299E-7</v>
      </c>
      <c r="M118" s="78">
        <f>(('National CEA estimate'!D22)*(Morbidity!C6)*M86)</f>
        <v>1.9735849748924566E-8</v>
      </c>
      <c r="N118" s="78"/>
      <c r="O118" s="203">
        <f>(('National CEA estimate'!C22)*(Morbidity!C6)*O86)</f>
        <v>1.1739551663651935E-6</v>
      </c>
      <c r="P118" s="78">
        <f>(('National CEA estimate'!D22)*(Morbidity!C6)*P86)</f>
        <v>2.5213069234389317E-8</v>
      </c>
      <c r="Q118" s="78"/>
      <c r="R118" s="203">
        <f>(('National CEA estimate'!C22)*(Morbidity!C6)*R86)</f>
        <v>9.1568502976485062E-7</v>
      </c>
      <c r="S118" s="78">
        <f>(('National CEA estimate'!D22)*(Morbidity!C6)*S86)</f>
        <v>2.8936020308573605E-8</v>
      </c>
      <c r="T118" s="78"/>
      <c r="U118" s="193">
        <f>(('National CEA estimate'!C22)*(Morbidity!C6)*U86)</f>
        <v>1.0283847257359094E-6</v>
      </c>
      <c r="V118" s="78">
        <f>(('National CEA estimate'!D22)*(Morbidity!C6)*V86)</f>
        <v>2.3683118735315306E-8</v>
      </c>
      <c r="W118" s="78"/>
      <c r="X118" s="193">
        <f>(('National CEA estimate'!C22)*(Morbidity!C6)*X86)</f>
        <v>1.685799618900418E-6</v>
      </c>
      <c r="Y118" s="78">
        <f>(('National CEA estimate'!D22)*(Morbidity!C6)*Y86)</f>
        <v>5.327195533732269E-8</v>
      </c>
      <c r="Z118" s="78"/>
    </row>
    <row r="119" spans="1:29" ht="12.75" x14ac:dyDescent="0.2">
      <c r="A119" s="35" t="s">
        <v>52</v>
      </c>
      <c r="C119" s="78">
        <f>(('National CEA estimate'!C23)*(Morbidity!C7)*C87)</f>
        <v>9.5020336639873881E-7</v>
      </c>
      <c r="D119" s="78">
        <f>(('National CEA estimate'!D23)*(Morbidity!C7)*D87)</f>
        <v>6.2697934537882778E-7</v>
      </c>
      <c r="E119" s="78">
        <f>(('National CEA estimate'!E23)*(Morbidity!C7)*E87)</f>
        <v>4.9134292107059449E-7</v>
      </c>
      <c r="F119" s="193">
        <f>(('National CEA estimate'!C23)*(Morbidity!C7)*F87)</f>
        <v>2.0306831155085265E-7</v>
      </c>
      <c r="G119" s="78">
        <f>(('National CEA estimate'!D23)*(Morbidity!C7)*G87)</f>
        <v>3.6293059936748184E-7</v>
      </c>
      <c r="H119" s="78">
        <f>(('National CEA estimate'!E23)*(Morbidity!C7)*H87)</f>
        <v>7.7770842721603285E-7</v>
      </c>
      <c r="I119" s="193">
        <f>(('National CEA estimate'!C23)*(Morbidity!C7)*I87)</f>
        <v>5.2517666780393001E-7</v>
      </c>
      <c r="J119" s="78">
        <f>(('National CEA estimate'!D23)*(Morbidity!C7)*J87)</f>
        <v>3.7799207371974106E-7</v>
      </c>
      <c r="K119" s="202">
        <f>(('National CEA estimate'!E23)*(Morbidity!C7)*K87)</f>
        <v>3.1650924363443194E-7</v>
      </c>
      <c r="L119" s="193">
        <f>(('National CEA estimate'!C23)*(Morbidity!C7)*L87)</f>
        <v>3.6223516368465109E-7</v>
      </c>
      <c r="M119" s="78">
        <f>(('National CEA estimate'!D23)*(Morbidity!C7)*M87)</f>
        <v>4.0935195510053195E-7</v>
      </c>
      <c r="N119" s="78">
        <f>(('National CEA estimate'!E23)*(Morbidity!C7)*N87)</f>
        <v>5.5464476979748092E-7</v>
      </c>
      <c r="O119" s="193">
        <f>(('National CEA estimate'!C23)*(Morbidity!C7)*O87)</f>
        <v>1.756288484423376E-6</v>
      </c>
      <c r="P119" s="78">
        <f>(('National CEA estimate'!D23)*(Morbidity!C7)*P87)</f>
        <v>1.0991965847322677E-6</v>
      </c>
      <c r="Q119" s="202">
        <f>(('National CEA estimate'!E23)*(Morbidity!C7)*Q87)</f>
        <v>8.2292403344952306E-7</v>
      </c>
      <c r="R119" s="193">
        <f>(('National CEA estimate'!C23)*(Morbidity!C7)*R87)</f>
        <v>6.6587516113186646E-7</v>
      </c>
      <c r="S119" s="78">
        <f>(('National CEA estimate'!D23)*(Morbidity!C7)*S87)</f>
        <v>7.9338317071030916E-7</v>
      </c>
      <c r="T119" s="78">
        <f>(('National CEA estimate'!E23)*(Morbidity!C7)*T87)</f>
        <v>1.1334045295861566E-6</v>
      </c>
      <c r="U119" s="193">
        <f>(('National CEA estimate'!C23)*(Morbidity!C7)*U87)</f>
        <v>1.8368969962258394E-6</v>
      </c>
      <c r="V119" s="78">
        <f>(('National CEA estimate'!D23)*(Morbidity!C7)*V87)</f>
        <v>1.1464183086676115E-6</v>
      </c>
      <c r="W119" s="78">
        <f>(('National CEA estimate'!E23)*(Morbidity!C7)*W87)</f>
        <v>8.5608214468741602E-7</v>
      </c>
      <c r="X119" s="193">
        <f>(('National CEA estimate'!C23)*(Morbidity!C7)*X87)</f>
        <v>8.7924715022441177E-7</v>
      </c>
      <c r="Y119" s="78">
        <f>(('National CEA estimate'!D23)*(Morbidity!C7)*Y87)</f>
        <v>8.1026366370414559E-7</v>
      </c>
      <c r="Z119" s="78">
        <f>(('National CEA estimate'!E23)*(Morbidity!C7)*Z87)</f>
        <v>8.952690034231076E-7</v>
      </c>
    </row>
    <row r="120" spans="1:29" ht="12.75" x14ac:dyDescent="0.2">
      <c r="A120" s="35" t="s">
        <v>55</v>
      </c>
      <c r="C120" s="78">
        <f>(('National CEA estimate'!C24)*(Morbidity!C8)*C87)</f>
        <v>5.9291813289702154E-7</v>
      </c>
      <c r="D120" s="78">
        <f>(('National CEA estimate'!D24)*(Morbidity!C8)*D87)</f>
        <v>3.9122932623984519E-7</v>
      </c>
      <c r="E120" s="78">
        <f>(('National CEA estimate'!E24)*(Morbidity!C8)*E87)</f>
        <v>3.0659344901867539E-7</v>
      </c>
      <c r="F120" s="193">
        <f>(('National CEA estimate'!C24)*(Morbidity!C8)*F87)</f>
        <v>1.2671275265168545E-7</v>
      </c>
      <c r="G120" s="78">
        <f>(('National CEA estimate'!D24)*(Morbidity!C8)*G87)</f>
        <v>2.2646534516471471E-7</v>
      </c>
      <c r="H120" s="78">
        <f>(('National CEA estimate'!E24)*(Morbidity!C8)*H87)</f>
        <v>4.852828824958175E-7</v>
      </c>
      <c r="I120" s="193">
        <f>(('National CEA estimate'!C24)*(Morbidity!C8)*I87)</f>
        <v>3.2770539478884214E-7</v>
      </c>
      <c r="J120" s="78">
        <f>(('National CEA estimate'!D24)*(Morbidity!C8)*J87)</f>
        <v>2.3586356618498259E-7</v>
      </c>
      <c r="K120" s="78">
        <f>(('National CEA estimate'!E24)*(Morbidity!C8)*K87)</f>
        <v>1.9749884752736755E-7</v>
      </c>
      <c r="L120" s="193">
        <f>(('National CEA estimate'!C24)*(Morbidity!C8)*L87)</f>
        <v>2.2603139971556659E-7</v>
      </c>
      <c r="M120" s="78">
        <f>(('National CEA estimate'!D24)*(Morbidity!C8)*M87)</f>
        <v>2.5543184280206203E-7</v>
      </c>
      <c r="N120" s="78">
        <f>(('National CEA estimate'!E24)*(Morbidity!C8)*N87)</f>
        <v>3.4609321852414899E-7</v>
      </c>
      <c r="O120" s="193">
        <f>(('National CEA estimate'!C24)*(Morbidity!C8)*O87)</f>
        <v>1.0959078086194307E-6</v>
      </c>
      <c r="P120" s="78">
        <f>(('National CEA estimate'!D24)*(Morbidity!C8)*P87)</f>
        <v>6.858885263438948E-7</v>
      </c>
      <c r="Q120" s="78">
        <f>(('National CEA estimate'!E24)*(Morbidity!C8)*Q87)</f>
        <v>5.1349700357115566E-7</v>
      </c>
      <c r="R120" s="193">
        <f>(('National CEA estimate'!C24)*(Morbidity!C8)*R87)</f>
        <v>4.1549995636948073E-7</v>
      </c>
      <c r="S120" s="78">
        <f>(('National CEA estimate'!D24)*(Morbidity!C8)*S87)</f>
        <v>4.9506377780193451E-7</v>
      </c>
      <c r="T120" s="78">
        <f>(('National CEA estimate'!E24)*(Morbidity!C8)*T87)</f>
        <v>7.072339682884782E-7</v>
      </c>
      <c r="U120" s="193">
        <f>(('National CEA estimate'!C24)*(Morbidity!C8)*U87)</f>
        <v>1.1462067761916714E-6</v>
      </c>
      <c r="V120" s="78">
        <f>(('National CEA estimate'!D24)*(Morbidity!C8)*V87)</f>
        <v>7.1535444635429969E-7</v>
      </c>
      <c r="W120" s="78">
        <f>(('National CEA estimate'!E24)*(Morbidity!C8)*W87)</f>
        <v>5.3418735902640371E-7</v>
      </c>
      <c r="X120" s="193">
        <f>(('National CEA estimate'!C24)*(Morbidity!C8)*X87)</f>
        <v>5.4864210873287979E-7</v>
      </c>
      <c r="Y120" s="78">
        <f>(('National CEA estimate'!D24)*(Morbidity!C8)*Y87)</f>
        <v>5.0559704967006083E-7</v>
      </c>
      <c r="Z120" s="78">
        <f>(('National CEA estimate'!E24)*(Morbidity!C8)*Z87)</f>
        <v>5.5863959729169686E-7</v>
      </c>
    </row>
    <row r="121" spans="1:29" ht="12.75" x14ac:dyDescent="0.2">
      <c r="A121" s="35" t="s">
        <v>62</v>
      </c>
      <c r="C121" s="78">
        <f>(('National CEA estimate'!C25)*(Morbidity!C9)*C89)</f>
        <v>2.2385708403710255E-8</v>
      </c>
      <c r="D121" s="78">
        <f>(('National CEA estimate'!D25)*(Morbidity!C9)*D89)</f>
        <v>3.3058723104502365E-8</v>
      </c>
      <c r="E121" s="78">
        <f>(('National CEA estimate'!E25)*(Morbidity!C9)*E89)</f>
        <v>2.2668646877536072E-8</v>
      </c>
      <c r="F121" s="193">
        <f>(('National CEA estimate'!C25)*(Morbidity!C9)*F89)</f>
        <v>4.7840579913327572E-9</v>
      </c>
      <c r="G121" s="78">
        <f>(('National CEA estimate'!D25)*(Morbidity!C9)*G89)</f>
        <v>1.9136231965331055E-8</v>
      </c>
      <c r="H121" s="78">
        <f>(('National CEA estimate'!E25)*(Morbidity!C9)*H89)</f>
        <v>3.5880434934995738E-8</v>
      </c>
      <c r="I121" s="193">
        <f>(('National CEA estimate'!C25)*(Morbidity!C9)*I89)</f>
        <v>1.2372563770688184E-8</v>
      </c>
      <c r="J121" s="78">
        <f>(('National CEA estimate'!D25)*(Morbidity!C9)*J89)</f>
        <v>1.9930377918984533E-8</v>
      </c>
      <c r="K121" s="194">
        <f>(('National CEA estimate'!E25)*(Morbidity!C9)*K89)</f>
        <v>1.4602502589823846E-8</v>
      </c>
      <c r="L121" s="193">
        <f>(('National CEA estimate'!C25)*(Morbidity!C9)*L89)</f>
        <v>8.5338476315312034E-9</v>
      </c>
      <c r="M121" s="78">
        <f>(('National CEA estimate'!D25)*(Morbidity!C9)*M89)</f>
        <v>2.158388954229201E-8</v>
      </c>
      <c r="N121" s="78">
        <f>(('National CEA estimate'!E25)*(Morbidity!C9)*N89)</f>
        <v>2.5589147395500845E-8</v>
      </c>
      <c r="O121" s="193">
        <f>(('National CEA estimate'!C25)*(Morbidity!C9)*O89)</f>
        <v>4.1376155121510733E-8</v>
      </c>
      <c r="P121" s="78">
        <f>(('National CEA estimate'!D25)*(Morbidity!C9)*P89)</f>
        <v>5.79573088011741E-8</v>
      </c>
      <c r="Q121" s="194">
        <f>(('National CEA estimate'!E25)*(Morbidity!C9)*Q89)</f>
        <v>3.7966506733542E-8</v>
      </c>
      <c r="R121" s="193">
        <f>(('National CEA estimate'!C25)*(Morbidity!C9)*R89)</f>
        <v>1.5687259925067899E-8</v>
      </c>
      <c r="S121" s="78">
        <f>(('National CEA estimate'!D25)*(Morbidity!C9)*S89)</f>
        <v>4.1832693133514402E-8</v>
      </c>
      <c r="T121" s="78">
        <f>(('National CEA estimate'!E25)*(Morbidity!C9)*T89)</f>
        <v>5.2290866416893019E-8</v>
      </c>
      <c r="U121" s="193">
        <f>(('National CEA estimate'!C25)*(Morbidity!C9)*U89)</f>
        <v>4.3275199793290774E-8</v>
      </c>
      <c r="V121" s="78">
        <f>(('National CEA estimate'!D25)*(Morbidity!C9)*V89)</f>
        <v>6.0447167370841264E-8</v>
      </c>
      <c r="W121" s="78">
        <f>(('National CEA estimate'!E25)*(Morbidity!C9)*W89)</f>
        <v>3.9496292719142598E-8</v>
      </c>
      <c r="X121" s="193">
        <f>(('National CEA estimate'!C25)*(Morbidity!C9)*X89)</f>
        <v>2.0714060816595138E-8</v>
      </c>
      <c r="Y121" s="78">
        <f>(('National CEA estimate'!D25)*(Morbidity!C9)*Y89)</f>
        <v>4.2722750434227474E-8</v>
      </c>
      <c r="Z121" s="78">
        <f>(('National CEA estimate'!E25)*(Morbidity!C9)*Z89)</f>
        <v>4.1304221611216028E-8</v>
      </c>
    </row>
    <row r="122" spans="1:29" ht="12.75" x14ac:dyDescent="0.2">
      <c r="A122" s="29" t="s">
        <v>70</v>
      </c>
      <c r="C122" s="78">
        <f>(('National CEA estimate'!C26)*(Morbidity!C10)*C90)</f>
        <v>0</v>
      </c>
      <c r="D122" s="78"/>
      <c r="E122" s="78"/>
      <c r="F122" s="203">
        <f>(('National CEA estimate'!C26)*(Morbidity!C10)*F90)</f>
        <v>0</v>
      </c>
      <c r="G122" s="78"/>
      <c r="H122" s="78"/>
      <c r="I122" s="193">
        <f>(('National CEA estimate'!C26)*(Morbidity!C10)*I90)</f>
        <v>0</v>
      </c>
      <c r="J122" s="78"/>
      <c r="K122" s="78"/>
      <c r="L122" s="193">
        <f>(('National CEA estimate'!C26)*(Morbidity!C10)*L90)</f>
        <v>0</v>
      </c>
      <c r="M122" s="78"/>
      <c r="N122" s="78"/>
      <c r="O122" s="193">
        <f>(('National CEA estimate'!C26)*(Morbidity!C10)*O90)</f>
        <v>0</v>
      </c>
      <c r="P122" s="78"/>
      <c r="Q122" s="78"/>
      <c r="R122" s="193">
        <f>(('National CEA estimate'!C26)*(Morbidity!C10)*R90)</f>
        <v>0</v>
      </c>
      <c r="S122" s="78"/>
      <c r="T122" s="78"/>
      <c r="U122" s="193">
        <f>(('National CEA estimate'!C26)*(Morbidity!C10)*U90)</f>
        <v>0</v>
      </c>
      <c r="V122" s="78"/>
      <c r="W122" s="78"/>
      <c r="X122" s="193">
        <f>(('National CEA estimate'!C26)*(Morbidity!C10)*X90)</f>
        <v>0</v>
      </c>
      <c r="Y122" s="78"/>
      <c r="Z122" s="78"/>
    </row>
    <row r="123" spans="1:29" ht="12.75" x14ac:dyDescent="0.2">
      <c r="A123" s="35" t="s">
        <v>88</v>
      </c>
      <c r="C123" s="78">
        <f>(('National CEA estimate'!C27)*(Morbidity!C11)*C86)</f>
        <v>3.5012413170885767E-6</v>
      </c>
      <c r="D123" s="78">
        <f>(('National CEA estimate'!D27)*(Morbidity!C11)*C86)</f>
        <v>3.7071748898089289E-6</v>
      </c>
      <c r="E123" s="78">
        <f>(('National CEA estimate'!E27)*(Morbidity!C11)*C86)</f>
        <v>8.2378368772792928E-7</v>
      </c>
      <c r="F123" s="193">
        <f>(('National CEA estimate'!C27)*(Morbidity!C11)*F86)</f>
        <v>5.7125516226182072E-6</v>
      </c>
      <c r="G123" s="78">
        <f>(('National CEA estimate'!D27)*(Morbidity!C11)*F86)</f>
        <v>6.0485485044250983E-6</v>
      </c>
      <c r="H123" s="78">
        <f>(('National CEA estimate'!E27)*(Morbidity!C11)*F86)</f>
        <v>1.3440681220824118E-6</v>
      </c>
      <c r="I123" s="193">
        <f>(('National CEA estimate'!C27)*(Morbidity!C11)*I86)</f>
        <v>3.0221240842238242E-6</v>
      </c>
      <c r="J123" s="78">
        <f>(('National CEA estimate'!D27)*(Morbidity!C11)*I86)</f>
        <v>3.1998772733087597E-6</v>
      </c>
      <c r="K123" s="78">
        <f>(('National CEA estimate'!E27)*(Morbidity!C11)*I86)</f>
        <v>7.1105539361779156E-7</v>
      </c>
      <c r="L123" s="193">
        <f>(('National CEA estimate'!C27)*(Morbidity!C11)*L86)</f>
        <v>4.9017378439240098E-6</v>
      </c>
      <c r="M123" s="78">
        <f>(('National CEA estimate'!D27)*(Morbidity!C11)*L86)</f>
        <v>5.1900448457325033E-6</v>
      </c>
      <c r="N123" s="78">
        <f>(('National CEA estimate'!E27)*(Morbidity!C11)*L86)</f>
        <v>1.1532971628191017E-6</v>
      </c>
      <c r="O123" s="193">
        <f>(('National CEA estimate'!C27)*(Morbidity!C11)*O86)</f>
        <v>9.2137929397067843E-6</v>
      </c>
      <c r="P123" s="78">
        <f>(('National CEA estimate'!D27)*(Morbidity!C11)*O86)</f>
        <v>9.755723394234028E-6</v>
      </c>
      <c r="Q123" s="78">
        <f>(('National CEA estimate'!E27)*(Morbidity!C11)*O86)</f>
        <v>2.1678518098103412E-6</v>
      </c>
      <c r="R123" s="193">
        <f>(('National CEA estimate'!C27)*(Morbidity!C11)*R86)</f>
        <v>7.1867584929712894E-6</v>
      </c>
      <c r="S123" s="78">
        <f>(('National CEA estimate'!D27)*(Morbidity!C11)*R86)</f>
        <v>7.6094642475025389E-6</v>
      </c>
      <c r="T123" s="78">
        <f>(('National CEA estimate'!E27)*(Morbidity!C11)*R86)</f>
        <v>1.6909244116520656E-6</v>
      </c>
      <c r="U123" s="193">
        <f>(('National CEA estimate'!C27)*(Morbidity!C11)*U86)</f>
        <v>8.0712826151831407E-6</v>
      </c>
      <c r="V123" s="78">
        <f>(('National CEA estimate'!D27)*(Morbidity!C11)*U86)</f>
        <v>8.5460136933490068E-6</v>
      </c>
      <c r="W123" s="78">
        <f>(('National CEA estimate'!E27)*(Morbidity!C11)*U86)</f>
        <v>1.8990381853938583E-6</v>
      </c>
      <c r="X123" s="193">
        <f>(('National CEA estimate'!C27)*(Morbidity!C11)*X86)</f>
        <v>1.3231006661418942E-5</v>
      </c>
      <c r="Y123" s="78">
        <f>(('National CEA estimate'!D27)*(Morbidity!C11)*X86)</f>
        <v>1.4009218794120063E-5</v>
      </c>
      <c r="Z123" s="78">
        <f>(('National CEA estimate'!E27)*(Morbidity!C11)*X86)</f>
        <v>3.11303519888765E-6</v>
      </c>
    </row>
    <row r="124" spans="1:29" ht="12.75" x14ac:dyDescent="0.2">
      <c r="A124" s="35" t="s">
        <v>91</v>
      </c>
      <c r="C124" s="78">
        <f>(('National CEA estimate'!C28)*(Morbidity!C12)*C86)</f>
        <v>2.6689060082789074E-6</v>
      </c>
      <c r="D124" s="78">
        <f>(('National CEA estimate'!D28)*(Morbidity!C12)*C86)</f>
        <v>3.9982330725817222E-7</v>
      </c>
      <c r="E124" s="78">
        <f>(('National CEA estimate'!E28)*(Morbidity!C12)*C86)</f>
        <v>1.6403007477258283E-7</v>
      </c>
      <c r="F124" s="193">
        <f>(('National CEA estimate'!C28)*(Morbidity!C12)*F86)</f>
        <v>4.3545308556129564E-6</v>
      </c>
      <c r="G124" s="78">
        <f>(('National CEA estimate'!D28)*(Morbidity!C12)*F86)</f>
        <v>6.5234329078964985E-7</v>
      </c>
      <c r="H124" s="78">
        <f>(('National CEA estimate'!E28)*(Morbidity!C12)*F86)</f>
        <v>2.6762801673421427E-7</v>
      </c>
      <c r="I124" s="193">
        <f>(('National CEA estimate'!C28)*(Morbidity!C12)*I86)</f>
        <v>2.3036872913565304E-6</v>
      </c>
      <c r="J124" s="78">
        <f>(('National CEA estimate'!D28)*(Morbidity!C12)*I86)</f>
        <v>3.4511064415968551E-7</v>
      </c>
      <c r="K124" s="78">
        <f>(('National CEA estimate'!E28)*(Morbidity!C12)*I86)</f>
        <v>1.4158385401422939E-7</v>
      </c>
      <c r="L124" s="193">
        <f>(('National CEA estimate'!C28)*(Morbidity!C12)*L86)</f>
        <v>3.7364684115904722E-6</v>
      </c>
      <c r="M124" s="78">
        <f>(('National CEA estimate'!D28)*(Morbidity!C12)*L86)</f>
        <v>5.5975263016144144E-7</v>
      </c>
      <c r="N124" s="78">
        <f>(('National CEA estimate'!E28)*(Morbidity!C12)*L86)</f>
        <v>2.2964210468161609E-7</v>
      </c>
      <c r="O124" s="193">
        <f>(('National CEA estimate'!C28)*(Morbidity!C12)*O86)</f>
        <v>7.0234368638918647E-6</v>
      </c>
      <c r="P124" s="78">
        <f>(('National CEA estimate'!D28)*(Morbidity!C12)*O86)</f>
        <v>1.0521665980478222E-6</v>
      </c>
      <c r="Q124" s="78">
        <f>(('National CEA estimate'!E28)*(Morbidity!C12)*O86)</f>
        <v>4.3165809150679712E-7</v>
      </c>
      <c r="R124" s="193">
        <f>(('National CEA estimate'!C28)*(Morbidity!C12)*R86)</f>
        <v>5.4782807538356519E-6</v>
      </c>
      <c r="S124" s="78">
        <f>(('National CEA estimate'!D28)*(Morbidity!C12)*R86)</f>
        <v>8.2068994647730094E-7</v>
      </c>
      <c r="T124" s="78">
        <f>(('National CEA estimate'!E28)*(Morbidity!C12)*R86)</f>
        <v>3.3669331137530164E-7</v>
      </c>
      <c r="U124" s="193">
        <f>(('National CEA estimate'!C28)*(Morbidity!C12)*U86)</f>
        <v>6.1525306927692718E-6</v>
      </c>
      <c r="V124" s="78">
        <f>(('National CEA estimate'!D28)*(Morbidity!C12)*U86)</f>
        <v>9.2169793988989201E-7</v>
      </c>
      <c r="W124" s="78">
        <f>(('National CEA estimate'!E28)*(Morbidity!C12)*U86)</f>
        <v>3.7813248815995416E-7</v>
      </c>
      <c r="X124" s="193">
        <f>(('National CEA estimate'!C28)*(Morbidity!C12)*X86)</f>
        <v>1.0085655336548717E-5</v>
      </c>
      <c r="Y124" s="78">
        <f>(('National CEA estimate'!D28)*(Morbidity!C12)*X86)</f>
        <v>1.5109112347966727E-6</v>
      </c>
      <c r="Z124" s="78">
        <f>(('National CEA estimate'!E28)*(Morbidity!C12)*X86)</f>
        <v>6.1986101940376063E-7</v>
      </c>
    </row>
    <row r="125" spans="1:29" ht="12.75" x14ac:dyDescent="0.2">
      <c r="A125" s="35" t="s">
        <v>93</v>
      </c>
      <c r="C125" s="78">
        <f>(('National CEA estimate'!C28)*(Morbidity!C13)*C86)</f>
        <v>6.302572114365301E-7</v>
      </c>
      <c r="D125" s="78">
        <f>(('National CEA estimate'!D28)*(Morbidity!C13)*C86)</f>
        <v>9.4417533595485409E-8</v>
      </c>
      <c r="E125" s="78">
        <f>(('National CEA estimate'!E28)*(Morbidity!C13)*C86)</f>
        <v>3.8735398398147701E-8</v>
      </c>
      <c r="F125" s="193">
        <f>(('National CEA estimate'!C28)*(Morbidity!C13)*F86)</f>
        <v>1.0283143976069707E-6</v>
      </c>
      <c r="G125" s="78">
        <f>(('National CEA estimate'!D28)*(Morbidity!C13)*F86)</f>
        <v>1.540496600768447E-7</v>
      </c>
      <c r="H125" s="78">
        <f>(('National CEA estimate'!E28)*(Morbidity!C13)*F86)</f>
        <v>6.3199860544346298E-8</v>
      </c>
      <c r="I125" s="193">
        <f>(('National CEA estimate'!C28)*(Morbidity!C13)*I86)</f>
        <v>5.440114877662681E-7</v>
      </c>
      <c r="J125" s="78">
        <f>(('National CEA estimate'!D28)*(Morbidity!C13)*I86)</f>
        <v>8.1497239524524251E-8</v>
      </c>
      <c r="K125" s="78">
        <f>(('National CEA estimate'!E28)*(Morbidity!C13)*I86)</f>
        <v>3.3434764933138021E-8</v>
      </c>
      <c r="L125" s="193">
        <f>(('National CEA estimate'!C28)*(Morbidity!C13)*L86)</f>
        <v>8.8236009601114261E-7</v>
      </c>
      <c r="M125" s="78">
        <f>(('National CEA estimate'!D28)*(Morbidity!C13)*L86)</f>
        <v>1.3218454703367966E-7</v>
      </c>
      <c r="N125" s="78">
        <f>(('National CEA estimate'!E28)*(Morbidity!C13)*L86)</f>
        <v>5.4229557757406814E-8</v>
      </c>
      <c r="O125" s="193">
        <f>(('National CEA estimate'!C28)*(Morbidity!C13)*O86)</f>
        <v>1.658571609043501E-6</v>
      </c>
      <c r="P125" s="78">
        <f>(('National CEA estimate'!D28)*(Morbidity!C13)*O86)</f>
        <v>2.4846719367233016E-7</v>
      </c>
      <c r="Q125" s="78">
        <f>(('National CEA estimate'!E28)*(Morbidity!C13)*O86)</f>
        <v>1.01935258942494E-7</v>
      </c>
      <c r="R125" s="193">
        <f>(('National CEA estimate'!C28)*(Morbidity!C13)*R86)</f>
        <v>1.2936858550539302E-6</v>
      </c>
      <c r="S125" s="78">
        <f>(('National CEA estimate'!D28)*(Morbidity!C13)*R86)</f>
        <v>1.9380441106441743E-7</v>
      </c>
      <c r="T125" s="78">
        <f>(('National CEA estimate'!E28)*(Morbidity!C13)*R86)</f>
        <v>7.9509501975145296E-8</v>
      </c>
      <c r="U125" s="193">
        <f>(('National CEA estimate'!C28)*(Morbidity!C13)*U86)</f>
        <v>1.4529087295221063E-6</v>
      </c>
      <c r="V125" s="78">
        <f>(('National CEA estimate'!D28)*(Morbidity!C13)*U86)</f>
        <v>2.1765726165696116E-7</v>
      </c>
      <c r="W125" s="78">
        <f>(('National CEA estimate'!E28)*(Morbidity!C13)*U86)</f>
        <v>8.9295286833624718E-8</v>
      </c>
      <c r="X125" s="193">
        <f>(('National CEA estimate'!C28)*(Morbidity!C13)*X86)</f>
        <v>2.3817088305864675E-6</v>
      </c>
      <c r="Y125" s="78">
        <f>(('National CEA estimate'!D28)*(Morbidity!C13)*X86)</f>
        <v>3.5679889011346606E-7</v>
      </c>
      <c r="Z125" s="78">
        <f>(('National CEA estimate'!E28)*(Morbidity!C13)*X86)</f>
        <v>1.4637903184142138E-7</v>
      </c>
    </row>
    <row r="126" spans="1:29" ht="12.75" x14ac:dyDescent="0.2">
      <c r="A126" s="35" t="s">
        <v>95</v>
      </c>
      <c r="C126" s="78">
        <f>(('National CEA estimate'!C30)*(Morbidity!C14)*C86)</f>
        <v>2.2658216518543329E-6</v>
      </c>
      <c r="D126" s="78"/>
      <c r="E126" s="78"/>
      <c r="F126" s="193">
        <f>(('National CEA estimate'!C30)*(Morbidity!C14)*F86)</f>
        <v>3.6968669056570717E-6</v>
      </c>
      <c r="G126" s="78"/>
      <c r="H126" s="78"/>
      <c r="I126" s="193"/>
      <c r="J126" s="78"/>
      <c r="K126" s="78"/>
      <c r="L126" s="193"/>
      <c r="M126" s="78"/>
      <c r="N126" s="78"/>
      <c r="O126" s="193"/>
      <c r="P126" s="78"/>
      <c r="Q126" s="78"/>
      <c r="R126" s="193"/>
      <c r="S126" s="78"/>
      <c r="T126" s="78"/>
      <c r="U126" s="193"/>
      <c r="V126" s="78"/>
      <c r="W126" s="78"/>
      <c r="X126" s="193"/>
      <c r="Y126" s="78"/>
      <c r="Z126" s="78"/>
    </row>
    <row r="127" spans="1:29" ht="12.75" x14ac:dyDescent="0.2">
      <c r="A127" s="35" t="s">
        <v>98</v>
      </c>
      <c r="C127" s="78">
        <f>(('National CEA estimate'!C31)*(Morbidity!C15)*C90)</f>
        <v>0</v>
      </c>
      <c r="D127" s="78"/>
      <c r="E127" s="78"/>
      <c r="F127" s="193">
        <f>(('National CEA estimate'!C31)*(Morbidity!C15)*F90)</f>
        <v>0</v>
      </c>
      <c r="G127" s="78"/>
      <c r="H127" s="78"/>
      <c r="I127" s="193">
        <f>(('National CEA estimate'!C31)*(Morbidity!C15)*I90)</f>
        <v>0</v>
      </c>
      <c r="J127" s="78"/>
      <c r="K127" s="78"/>
      <c r="L127" s="193">
        <f>(('National CEA estimate'!C31)*(Morbidity!C15)*L90)</f>
        <v>0</v>
      </c>
      <c r="M127" s="78"/>
      <c r="N127" s="78"/>
      <c r="O127" s="193">
        <f>(('National CEA estimate'!C31)*(Morbidity!C15)*O90)</f>
        <v>0</v>
      </c>
      <c r="P127" s="78"/>
      <c r="Q127" s="78"/>
      <c r="R127" s="193">
        <f>(('National CEA estimate'!C31)*(Morbidity!C15)*R90)</f>
        <v>0</v>
      </c>
      <c r="S127" s="78"/>
      <c r="T127" s="78"/>
      <c r="U127" s="193">
        <f>(('National CEA estimate'!C31)*(Morbidity!C15)*U90)</f>
        <v>0</v>
      </c>
      <c r="V127" s="78"/>
      <c r="W127" s="78"/>
      <c r="X127" s="193">
        <f>(('National CEA estimate'!C31)*(Morbidity!C15)*X90)</f>
        <v>0</v>
      </c>
      <c r="Y127" s="78"/>
      <c r="Z127" s="78"/>
    </row>
    <row r="128" spans="1:29" ht="12.75" x14ac:dyDescent="0.2">
      <c r="A128" s="1"/>
      <c r="F128" s="13"/>
      <c r="I128" s="13"/>
      <c r="L128" s="13"/>
      <c r="O128" s="13"/>
      <c r="R128" s="13"/>
      <c r="U128" s="13"/>
      <c r="X128" s="13"/>
    </row>
    <row r="129" spans="1:29" ht="25.5" x14ac:dyDescent="0.2">
      <c r="A129" s="12" t="s">
        <v>460</v>
      </c>
      <c r="B129" s="111"/>
      <c r="C129" s="111"/>
      <c r="D129" s="111"/>
      <c r="E129" s="111"/>
      <c r="F129" s="150"/>
      <c r="G129" s="137"/>
      <c r="H129" s="137"/>
      <c r="I129" s="150"/>
      <c r="J129" s="137"/>
      <c r="K129" s="137"/>
      <c r="L129" s="150"/>
      <c r="M129" s="137"/>
      <c r="N129" s="137"/>
      <c r="O129" s="151"/>
      <c r="P129" s="111"/>
      <c r="Q129" s="111"/>
      <c r="R129" s="151"/>
      <c r="S129" s="111"/>
      <c r="T129" s="111"/>
      <c r="U129" s="151"/>
      <c r="V129" s="111"/>
      <c r="W129" s="111"/>
      <c r="X129" s="151"/>
      <c r="Y129" s="111"/>
      <c r="Z129" s="111"/>
      <c r="AA129" s="111"/>
      <c r="AB129" s="111"/>
      <c r="AC129" s="111"/>
    </row>
    <row r="130" spans="1:29" ht="38.25" x14ac:dyDescent="0.2">
      <c r="A130" s="27"/>
      <c r="B130" s="27"/>
      <c r="C130" s="26" t="s">
        <v>185</v>
      </c>
      <c r="D130" s="26" t="s">
        <v>186</v>
      </c>
      <c r="E130" s="26" t="s">
        <v>187</v>
      </c>
      <c r="F130" s="138" t="s">
        <v>188</v>
      </c>
      <c r="G130" s="26" t="s">
        <v>189</v>
      </c>
      <c r="H130" s="26" t="s">
        <v>190</v>
      </c>
      <c r="I130" s="138" t="s">
        <v>191</v>
      </c>
      <c r="J130" s="26" t="s">
        <v>192</v>
      </c>
      <c r="K130" s="26" t="s">
        <v>193</v>
      </c>
      <c r="L130" s="138" t="s">
        <v>194</v>
      </c>
      <c r="M130" s="26" t="s">
        <v>195</v>
      </c>
      <c r="N130" s="26" t="s">
        <v>196</v>
      </c>
      <c r="O130" s="138" t="s">
        <v>198</v>
      </c>
      <c r="P130" s="26" t="s">
        <v>199</v>
      </c>
      <c r="Q130" s="26" t="s">
        <v>200</v>
      </c>
      <c r="R130" s="138" t="s">
        <v>207</v>
      </c>
      <c r="S130" s="26" t="s">
        <v>208</v>
      </c>
      <c r="T130" s="26" t="s">
        <v>209</v>
      </c>
      <c r="U130" s="138" t="s">
        <v>210</v>
      </c>
      <c r="V130" s="26" t="s">
        <v>211</v>
      </c>
      <c r="W130" s="26" t="s">
        <v>212</v>
      </c>
      <c r="X130" s="138" t="s">
        <v>213</v>
      </c>
      <c r="Y130" s="26" t="s">
        <v>214</v>
      </c>
      <c r="Z130" s="26" t="s">
        <v>215</v>
      </c>
      <c r="AA130" s="27"/>
      <c r="AB130" s="27"/>
      <c r="AC130" s="27"/>
    </row>
    <row r="131" spans="1:29" ht="12.75" x14ac:dyDescent="0.2">
      <c r="A131" s="29" t="s">
        <v>40</v>
      </c>
      <c r="C131" s="172">
        <f>(('National CEA estimate'!C19)*(Morbidity!K3)*C83)</f>
        <v>4.0491075530952551E-4</v>
      </c>
      <c r="D131" s="172">
        <f>(('National CEA estimate'!D19)*(Morbidity!K3)*D83)</f>
        <v>4.7485322714687023E-4</v>
      </c>
      <c r="E131" s="172">
        <f>(('National CEA estimate'!E19)*(Morbidity!K3)*E83)</f>
        <v>1.1577275869762953E-4</v>
      </c>
      <c r="F131" s="173">
        <f>(('National CEA estimate'!C19)*(Morbidity!K3)*F83)</f>
        <v>8.6533626713106669E-5</v>
      </c>
      <c r="G131" s="172">
        <f>(('National CEA estimate'!D19)*(Morbidity!K3)*G83)</f>
        <v>2.7487152106401148E-4</v>
      </c>
      <c r="H131" s="172">
        <f>(('National CEA estimate'!E19)*(Morbidity!K3)*H83)</f>
        <v>1.8324767941097189E-4</v>
      </c>
      <c r="I131" s="173">
        <f>(('National CEA estimate'!C19)*(Morbidity!K3)*I83)</f>
        <v>2.2379386218906929E-4</v>
      </c>
      <c r="J131" s="172">
        <f>(('National CEA estimate'!D19)*(Morbidity!K3)*J83)</f>
        <v>2.8627857897504813E-4</v>
      </c>
      <c r="K131" s="174">
        <f>(('National CEA estimate'!E19)*(Morbidity!K3)*K83)</f>
        <v>7.4577543946325754E-5</v>
      </c>
      <c r="L131" s="173">
        <f>(('National CEA estimate'!C19)*(Morbidity!K3)*L83)</f>
        <v>1.5435949704441747E-4</v>
      </c>
      <c r="M131" s="172">
        <f>(('National CEA estimate'!D19)*(Morbidity!K3)*M83)</f>
        <v>3.1002950631638516E-4</v>
      </c>
      <c r="N131" s="172">
        <f>(('National CEA estimate'!E19)*(Morbidity!K3)*N83)</f>
        <v>1.306882674868947E-4</v>
      </c>
      <c r="O131" s="173">
        <f>(('National CEA estimate'!C19)*(Morbidity!K3)*O83)</f>
        <v>7.4840831122763199E-4</v>
      </c>
      <c r="P131" s="172">
        <f>(('National CEA estimate'!D19)*(Morbidity!K3)*P83)</f>
        <v>8.3249480126584288E-4</v>
      </c>
      <c r="Q131" s="174">
        <f>(('National CEA estimate'!E19)*(Morbidity!K3)*Q83)</f>
        <v>1.9390161426044699E-4</v>
      </c>
      <c r="R131" s="173">
        <f>(('National CEA estimate'!C19)*(Morbidity!K3)*R83)</f>
        <v>2.8374979922204778E-4</v>
      </c>
      <c r="S131" s="174">
        <f>(('National CEA estimate'!D19)*(Morbidity!K3)*S83)</f>
        <v>6.0088192976783916E-4</v>
      </c>
      <c r="T131" s="174">
        <f>(('National CEA estimate'!E19)*(Morbidity!K3)*T83)</f>
        <v>2.6705863356017609E-4</v>
      </c>
      <c r="U131" s="173">
        <f>(('National CEA estimate'!C19)*(Morbidity!K3)*U83)</f>
        <v>7.8275806681944249E-4</v>
      </c>
      <c r="V131" s="172">
        <f>(('National CEA estimate'!D19)*(Morbidity!K3)*V83)</f>
        <v>8.6825895867773996E-4</v>
      </c>
      <c r="W131" s="172">
        <f>(('National CEA estimate'!E19)*(Morbidity!K3)*W83)</f>
        <v>2.0171449981672875E-4</v>
      </c>
      <c r="X131" s="173">
        <f>(('National CEA estimate'!C19)*(Morbidity!K3)*X83)</f>
        <v>3.7467413849565052E-4</v>
      </c>
      <c r="Y131" s="172">
        <f>(('National CEA estimate'!D19)*(Morbidity!K3)*Y83)</f>
        <v>6.1366665167779323E-4</v>
      </c>
      <c r="Z131" s="172">
        <f>(('National CEA estimate'!E19)*(Morbidity!K3)*Z83)</f>
        <v>2.1094791001960718E-4</v>
      </c>
    </row>
    <row r="132" spans="1:29" ht="12.75" x14ac:dyDescent="0.2">
      <c r="A132" s="35" t="s">
        <v>89</v>
      </c>
      <c r="C132" s="172">
        <f>(('National CEA estimate'!C20)*(Morbidity!K4)*C83)</f>
        <v>1.6042888686268756E-6</v>
      </c>
      <c r="D132" s="172">
        <f>(('National CEA estimate'!D20)*(Morbidity!K4)*D83)</f>
        <v>1.8814065430341189E-6</v>
      </c>
      <c r="E132" s="172">
        <f>(('National CEA estimate'!E20)*(Morbidity!K4)*E83)</f>
        <v>4.5870094985956289E-7</v>
      </c>
      <c r="F132" s="257">
        <f>(('National CEA estimate'!C20)*(Morbidity!K4)*F83)</f>
        <v>3.4285316524039597E-7</v>
      </c>
      <c r="G132" s="172">
        <f>(('National CEA estimate'!D20)*(Morbidity!K4)*G83)</f>
        <v>1.0890629960141788E-6</v>
      </c>
      <c r="H132" s="172">
        <f>(('National CEA estimate'!E20)*(Morbidity!K4)*H83)</f>
        <v>7.2604199425624048E-7</v>
      </c>
      <c r="I132" s="173">
        <f>(('National CEA estimate'!C20)*(Morbidity!K4)*I83)</f>
        <v>8.866892204493012E-7</v>
      </c>
      <c r="J132" s="172">
        <f>(('National CEA estimate'!D20)*(Morbidity!K4)*J83)</f>
        <v>1.1342586736755535E-6</v>
      </c>
      <c r="K132" s="172">
        <f>(('National CEA estimate'!E20)*(Morbidity!K4)*K83)</f>
        <v>2.9548220696474899E-7</v>
      </c>
      <c r="L132" s="173">
        <f>(('National CEA estimate'!C20)*(Morbidity!K4)*L83)</f>
        <v>6.1158470015423769E-7</v>
      </c>
      <c r="M132" s="172">
        <f>(('National CEA estimate'!D20)*(Morbidity!K4)*M83)</f>
        <v>1.2283617513183184E-6</v>
      </c>
      <c r="N132" s="172">
        <f>(('National CEA estimate'!E20)*(Morbidity!K4)*N83)</f>
        <v>5.177973912525127E-7</v>
      </c>
      <c r="O132" s="173">
        <f>(('National CEA estimate'!C20)*(Morbidity!K4)*O83)</f>
        <v>2.9652537186188269E-6</v>
      </c>
      <c r="P132" s="172">
        <f>(('National CEA estimate'!D20)*(Morbidity!K4)*P83)</f>
        <v>3.2984111228520871E-6</v>
      </c>
      <c r="Q132" s="172">
        <f>(('National CEA estimate'!E20)*(Morbidity!K4)*Q83)</f>
        <v>7.682537381083475E-7</v>
      </c>
      <c r="R132" s="257">
        <f>(('National CEA estimate'!C20)*(Morbidity!K4)*R83)</f>
        <v>1.1242394488115324E-6</v>
      </c>
      <c r="S132" s="172">
        <f>(('National CEA estimate'!D20)*(Morbidity!K4)*S83)</f>
        <v>2.3807423633798333E-6</v>
      </c>
      <c r="T132" s="172">
        <f>(('National CEA estimate'!E20)*(Morbidity!K4)*T83)</f>
        <v>1.0581077125594823E-6</v>
      </c>
      <c r="U132" s="173">
        <f>(('National CEA estimate'!C20)*(Morbidity!K4)*U83)</f>
        <v>3.1013502036180215E-6</v>
      </c>
      <c r="V132" s="174">
        <f>(('National CEA estimate'!D20)*(Morbidity!K4)*V83)</f>
        <v>3.4401115808338836E-6</v>
      </c>
      <c r="W132" s="172">
        <f>(('National CEA estimate'!E20)*(Morbidity!K4)*W83)</f>
        <v>7.9920901693322607E-7</v>
      </c>
      <c r="X132" s="173">
        <f>(('National CEA estimate'!C20)*(Morbidity!K4)*X83)</f>
        <v>1.4844889691592641E-6</v>
      </c>
      <c r="Y132" s="172">
        <f>(('National CEA estimate'!D20)*(Morbidity!K4)*Y83)</f>
        <v>2.4313964562177023E-6</v>
      </c>
      <c r="Z132" s="172">
        <f>(('National CEA estimate'!E20)*(Morbidity!K4)*Z83)</f>
        <v>8.3579252827171875E-7</v>
      </c>
    </row>
    <row r="133" spans="1:29" ht="12.75" x14ac:dyDescent="0.2">
      <c r="A133" s="29" t="s">
        <v>44</v>
      </c>
      <c r="C133" s="172">
        <f>(('National CEA estimate'!C21)*(Morbidity!K5)*C83*E62)</f>
        <v>2.208647396601168E-4</v>
      </c>
      <c r="D133" s="172">
        <f>(('National CEA estimate'!D21)*(Morbidity!K5)*D83*E62)</f>
        <v>1.4677569124601949E-4</v>
      </c>
      <c r="E133" s="172">
        <f>(('National CEA estimate'!E21)*(Morbidity!K5)*E83*E62)</f>
        <v>5.3677513076018156E-5</v>
      </c>
      <c r="F133" s="173">
        <f>(('National CEA estimate'!C21)*(Morbidity!K5)*F83*E62)</f>
        <v>4.7201084893944323E-5</v>
      </c>
      <c r="G133" s="172">
        <f>(('National CEA estimate'!D21)*(Morbidity!K5)*G83*E62)</f>
        <v>8.4961952876307849E-5</v>
      </c>
      <c r="H133" s="172">
        <f>(('National CEA estimate'!E21)*(Morbidity!K5)*H83*E62)</f>
        <v>8.4961953212347747E-5</v>
      </c>
      <c r="I133" s="173">
        <f>(('National CEA estimate'!C21)*(Morbidity!K5)*I83*E62)</f>
        <v>1.220717712774424E-4</v>
      </c>
      <c r="J133" s="172">
        <f>(('National CEA estimate'!D21)*(Morbidity!K5)*J83*E62)</f>
        <v>8.8487839854133797E-5</v>
      </c>
      <c r="K133" s="172">
        <f>(('National CEA estimate'!E21)*(Morbidity!K5)*K83*E62)</f>
        <v>3.4577539098048494E-5</v>
      </c>
      <c r="L133" s="173">
        <f>(('National CEA estimate'!C21)*(Morbidity!K5)*L83*E62)</f>
        <v>8.4197739086284545E-5</v>
      </c>
      <c r="M133" s="172">
        <f>(('National CEA estimate'!D21)*(Morbidity!K5)*M83*E62)</f>
        <v>9.582917940699842E-5</v>
      </c>
      <c r="N133" s="172">
        <f>(('National CEA estimate'!E21)*(Morbidity!K5)*N83*E62)</f>
        <v>6.059302089562786E-5</v>
      </c>
      <c r="O133" s="173">
        <f>(('National CEA estimate'!C21)*(Morbidity!K5)*O83*E62)</f>
        <v>4.0823071417898189E-4</v>
      </c>
      <c r="P133" s="258">
        <f>(('National CEA estimate'!D21)*(Morbidity!K5)*P83*E62)</f>
        <v>2.5732161629959575E-4</v>
      </c>
      <c r="Q133" s="258">
        <f>(('National CEA estimate'!E21)*(Morbidity!K5)*Q83*E62)</f>
        <v>8.9901601654926108E-5</v>
      </c>
      <c r="R133" s="173">
        <f>(('National CEA estimate'!C21)*(Morbidity!K5)*R83*E62)</f>
        <v>1.5477565046618971E-4</v>
      </c>
      <c r="S133" s="172">
        <f>(('National CEA estimate'!D21)*(Morbidity!K5)*S83*E62)</f>
        <v>1.8573078070634741E-4</v>
      </c>
      <c r="T133" s="172">
        <f>(('National CEA estimate'!E21)*(Morbidity!K5)*T83*E62)</f>
        <v>1.2382052096063083E-4</v>
      </c>
      <c r="U133" s="173">
        <f>(('National CEA estimate'!C21)*(Morbidity!K5)*U83*E62)</f>
        <v>4.2696731163086835E-4</v>
      </c>
      <c r="V133" s="172">
        <f>(('National CEA estimate'!D21)*(Morbidity!K5)*V83*E62)</f>
        <v>2.6837620880495333E-4</v>
      </c>
      <c r="W133" s="172">
        <f>(('National CEA estimate'!E21)*(Morbidity!K5)*W83*E62)</f>
        <v>9.3524010512816903E-5</v>
      </c>
      <c r="X133" s="173">
        <f>(('National CEA estimate'!C21)*(Morbidity!K5)*X83*E62)</f>
        <v>2.043717164118353E-4</v>
      </c>
      <c r="Y133" s="172">
        <f>(('National CEA estimate'!D21)*(Morbidity!K5)*Y83*E62)</f>
        <v>1.8968249944478036E-4</v>
      </c>
      <c r="Z133" s="172">
        <f>(('National CEA estimate'!E21)*(Morbidity!K5)*Z83*E62)</f>
        <v>9.780503916305148E-5</v>
      </c>
    </row>
    <row r="134" spans="1:29" ht="12.75" x14ac:dyDescent="0.2">
      <c r="A134" s="29" t="s">
        <v>48</v>
      </c>
      <c r="C134" s="172">
        <f>(('National CEA estimate'!C22)*(Morbidity!K6)*C86)</f>
        <v>1.410464092612084E-3</v>
      </c>
      <c r="D134" s="172">
        <f>(('National CEA estimate'!D22)*(Morbidity!K6)*D86)</f>
        <v>5.553073987408331E-5</v>
      </c>
      <c r="E134" s="172"/>
      <c r="F134" s="173">
        <f>(('National CEA estimate'!C22)*(Morbidity!K6)*F86)</f>
        <v>2.3012835195249802E-3</v>
      </c>
      <c r="G134" s="182">
        <f>(('National CEA estimate'!D22)*(Morbidity!K6)*G86)</f>
        <v>7.2721497558894202E-5</v>
      </c>
      <c r="H134" s="172"/>
      <c r="I134" s="181">
        <f>(('National CEA estimate'!C22)*(Morbidity!K6)*I86)</f>
        <v>1.2174532167809568E-3</v>
      </c>
      <c r="J134" s="172">
        <f>(('National CEA estimate'!D22)*(Morbidity!K6)*J86)</f>
        <v>5.3502188716801589E-5</v>
      </c>
      <c r="K134" s="172"/>
      <c r="L134" s="173">
        <f>(('National CEA estimate'!C22)*(Morbidity!K6)*L86)</f>
        <v>1.9746497296569184E-3</v>
      </c>
      <c r="M134" s="172">
        <f>(('National CEA estimate'!D22)*(Morbidity!K6)*M86)</f>
        <v>6.2399736615051165E-5</v>
      </c>
      <c r="N134" s="172"/>
      <c r="O134" s="181">
        <f>(('National CEA estimate'!C22)*(Morbidity!K6)*O86)</f>
        <v>3.7117476121370646E-3</v>
      </c>
      <c r="P134" s="172">
        <f>(('National CEA estimate'!D22)*(Morbidity!K6)*P86)</f>
        <v>7.9717311364750019E-5</v>
      </c>
      <c r="Q134" s="172"/>
      <c r="R134" s="181">
        <f>(('National CEA estimate'!C22)*(Morbidity!K6)*R86)</f>
        <v>2.8951631374669095E-3</v>
      </c>
      <c r="S134" s="172">
        <f>(('National CEA estimate'!D22)*(Morbidity!K6)*S86)</f>
        <v>9.1488335638608827E-5</v>
      </c>
      <c r="T134" s="172"/>
      <c r="U134" s="173">
        <f>(('National CEA estimate'!C22)*(Morbidity!K6)*U86)</f>
        <v>3.2514909082320678E-3</v>
      </c>
      <c r="V134" s="172">
        <f>(('National CEA estimate'!D22)*(Morbidity!K6)*V86)</f>
        <v>7.4879997066616661E-5</v>
      </c>
      <c r="W134" s="172"/>
      <c r="X134" s="173">
        <f>(('National CEA estimate'!C22)*(Morbidity!K6)*X86)</f>
        <v>5.3300695710288247E-3</v>
      </c>
      <c r="Y134" s="172">
        <f>(('National CEA estimate'!D22)*(Morbidity!K6)*Y86)</f>
        <v>1.6843237176543882E-4</v>
      </c>
      <c r="Z134" s="172"/>
    </row>
    <row r="135" spans="1:29" ht="12.75" x14ac:dyDescent="0.2">
      <c r="A135" s="35" t="s">
        <v>52</v>
      </c>
      <c r="C135" s="172">
        <f>(('National CEA estimate'!C23)*(Morbidity!K7)*C87)</f>
        <v>2.868506642288791E-4</v>
      </c>
      <c r="D135" s="172">
        <f>(('National CEA estimate'!D23)*(Morbidity!K7)*D87)</f>
        <v>1.8927468375673316E-4</v>
      </c>
      <c r="E135" s="172">
        <f>(('National CEA estimate'!E23)*(Morbidity!K7)*E87)</f>
        <v>1.4832829292894071E-4</v>
      </c>
      <c r="F135" s="173">
        <f>(('National CEA estimate'!C23)*(Morbidity!K7)*F87)</f>
        <v>6.130296114711424E-5</v>
      </c>
      <c r="G135" s="172">
        <f>(('National CEA estimate'!D23)*(Morbidity!K7)*G87)</f>
        <v>1.0956273907143837E-4</v>
      </c>
      <c r="H135" s="172">
        <f>(('National CEA estimate'!E23)*(Morbidity!K7)*H87)</f>
        <v>2.3477729801022515E-4</v>
      </c>
      <c r="I135" s="173">
        <f>(('National CEA estimate'!C23)*(Morbidity!K7)*I87)</f>
        <v>1.5854214089770948E-4</v>
      </c>
      <c r="J135" s="172">
        <f>(('National CEA estimate'!D23)*(Morbidity!K7)*J87)</f>
        <v>1.1410954881237418E-4</v>
      </c>
      <c r="K135" s="182">
        <f>(('National CEA estimate'!E23)*(Morbidity!K7)*K87)</f>
        <v>9.5548900352998591E-5</v>
      </c>
      <c r="L135" s="173">
        <f>(('National CEA estimate'!C23)*(Morbidity!K7)*L87)</f>
        <v>1.0935279855280547E-4</v>
      </c>
      <c r="M135" s="172">
        <f>(('National CEA estimate'!D23)*(Morbidity!K7)*M87)</f>
        <v>1.235765777898782E-4</v>
      </c>
      <c r="N135" s="172">
        <f>(('National CEA estimate'!E23)*(Morbidity!K7)*N87)</f>
        <v>1.6743807299954045E-4</v>
      </c>
      <c r="O135" s="173">
        <f>(('National CEA estimate'!C23)*(Morbidity!K7)*O87)</f>
        <v>5.3019441537420075E-4</v>
      </c>
      <c r="P135" s="172">
        <f>(('National CEA estimate'!D23)*(Morbidity!K7)*P87)</f>
        <v>3.3182925003051735E-4</v>
      </c>
      <c r="Q135" s="182">
        <f>(('National CEA estimate'!E23)*(Morbidity!K7)*Q87)</f>
        <v>2.4842714091779638E-4</v>
      </c>
      <c r="R135" s="173">
        <f>(('National CEA estimate'!C23)*(Morbidity!K7)*R87)</f>
        <v>2.0101668655216556E-4</v>
      </c>
      <c r="S135" s="172">
        <f>(('National CEA estimate'!D23)*(Morbidity!K7)*S87)</f>
        <v>2.3950924355151644E-4</v>
      </c>
      <c r="T135" s="172">
        <f>(('National CEA estimate'!E23)*(Morbidity!K7)*T87)</f>
        <v>3.4215606221645219E-4</v>
      </c>
      <c r="U135" s="173">
        <f>(('National CEA estimate'!C23)*(Morbidity!K7)*U87)</f>
        <v>5.5452879048873273E-4</v>
      </c>
      <c r="V135" s="172">
        <f>(('National CEA estimate'!D23)*(Morbidity!K7)*V87)</f>
        <v>3.4608470665789569E-4</v>
      </c>
      <c r="W135" s="172">
        <f>(('National CEA estimate'!E23)*(Morbidity!K7)*W87)</f>
        <v>2.5843702571668196E-4</v>
      </c>
      <c r="X135" s="173">
        <f>(('National CEA estimate'!C23)*(Morbidity!K7)*X87)</f>
        <v>2.6543015735579309E-4</v>
      </c>
      <c r="Y135" s="172">
        <f>(('National CEA estimate'!D23)*(Morbidity!K7)*Y87)</f>
        <v>2.4460518490367642E-4</v>
      </c>
      <c r="Z135" s="172">
        <f>(('National CEA estimate'!E23)*(Morbidity!K7)*E87)</f>
        <v>1.4832829292894071E-4</v>
      </c>
    </row>
    <row r="136" spans="1:29" ht="12.75" x14ac:dyDescent="0.2">
      <c r="A136" s="35" t="s">
        <v>55</v>
      </c>
      <c r="C136" s="172">
        <f>(('National CEA estimate'!C23)*(Morbidity!K8)*C87)</f>
        <v>1.3675378704658953E-4</v>
      </c>
      <c r="D136" s="172">
        <f>(('National CEA estimate'!D23)*(Morbidity!K8)*D87)</f>
        <v>9.0235209548358963E-5</v>
      </c>
      <c r="E136" s="172">
        <f>(('National CEA estimate'!E23)*(Morbidity!K8)*E87)</f>
        <v>7.0714341341052213E-5</v>
      </c>
      <c r="F136" s="173">
        <f>(('National CEA estimate'!C23)*(Morbidity!K8)*F87)</f>
        <v>2.9225702218868353E-5</v>
      </c>
      <c r="G136" s="172">
        <f>(('National CEA estimate'!D23)*(Morbidity!K8)*G87)</f>
        <v>5.2233169923083931E-5</v>
      </c>
      <c r="H136" s="172">
        <f>(('National CEA estimate'!E23)*(Morbidity!K8)*H87)</f>
        <v>1.1192822126375133E-4</v>
      </c>
      <c r="I136" s="173">
        <f>(('National CEA estimate'!C23)*(Morbidity!K8)*I87)</f>
        <v>7.5583712635004472E-5</v>
      </c>
      <c r="J136" s="172">
        <f>(('National CEA estimate'!D23)*(Morbidity!K8)*J87)</f>
        <v>5.4400825531359473E-5</v>
      </c>
      <c r="K136" s="172">
        <f>(('National CEA estimate'!E23)*(Morbidity!K8)*K87)</f>
        <v>4.5552183072456927E-5</v>
      </c>
      <c r="L136" s="173">
        <f>(('National CEA estimate'!C23)*(Morbidity!K8)*L87)</f>
        <v>5.2133082440090816E-5</v>
      </c>
      <c r="M136" s="172">
        <f>(('National CEA estimate'!D23)*(Morbidity!K8)*M87)</f>
        <v>5.8914156773710962E-5</v>
      </c>
      <c r="N136" s="172">
        <f>(('National CEA estimate'!E23)*(Morbidity!K8)*N87)</f>
        <v>7.9824777955543599E-5</v>
      </c>
      <c r="O136" s="173">
        <f>(('National CEA estimate'!C23)*(Morbidity!K8)*O87)</f>
        <v>2.5276599713752669E-4</v>
      </c>
      <c r="P136" s="172">
        <f>(('National CEA estimate'!D23)*(Morbidity!K8)*P87)</f>
        <v>1.5819697233922001E-4</v>
      </c>
      <c r="Q136" s="172">
        <f>(('National CEA estimate'!E23)*(Morbidity!K8)*Q87)</f>
        <v>1.1843567598838804E-4</v>
      </c>
      <c r="R136" s="173">
        <f>(('National CEA estimate'!C23)*(Morbidity!K8)*R87)</f>
        <v>9.5833116578149832E-5</v>
      </c>
      <c r="S136" s="172">
        <f>(('National CEA estimate'!D23)*(Morbidity!K8)*S87)</f>
        <v>1.1418413890162534E-4</v>
      </c>
      <c r="T136" s="172">
        <f>(('National CEA estimate'!E23)*(Morbidity!K8)*T87)</f>
        <v>1.6312019843089343E-4</v>
      </c>
      <c r="U136" s="173">
        <f>(('National CEA estimate'!C23)*(Morbidity!K8)*U87)</f>
        <v>2.6436721814662034E-4</v>
      </c>
      <c r="V136" s="172">
        <f>(('National CEA estimate'!D23)*(Morbidity!K8)*V87)</f>
        <v>1.6499314861830608E-4</v>
      </c>
      <c r="W136" s="172">
        <f>(('National CEA estimate'!E23)*(Morbidity!K8)*W87)</f>
        <v>1.2320780945312162E-4</v>
      </c>
      <c r="X136" s="173">
        <f>(('National CEA estimate'!C23)*(Morbidity!K8)*X87)</f>
        <v>1.2654172969184453E-4</v>
      </c>
      <c r="Y136" s="172">
        <f>(('National CEA estimate'!D23)*(Morbidity!K8)*Y87)</f>
        <v>1.1661358866548972E-4</v>
      </c>
      <c r="Z136" s="172">
        <f>(('National CEA estimate'!E23)*(Morbidity!K8)*E87)</f>
        <v>7.0714341341052213E-5</v>
      </c>
    </row>
    <row r="137" spans="1:29" ht="12.75" x14ac:dyDescent="0.2">
      <c r="A137" s="35" t="s">
        <v>62</v>
      </c>
      <c r="C137" s="172">
        <f>(('National CEA estimate'!C25)*(Morbidity!K9)*C89)</f>
        <v>1.2852122602225344E-5</v>
      </c>
      <c r="D137" s="172">
        <f>(('National CEA estimate'!D25)*(Morbidity!K9)*D89)</f>
        <v>1.897973272722807E-5</v>
      </c>
      <c r="E137" s="172">
        <f>(('National CEA estimate'!E25)*(Morbidity!K9)*E89)</f>
        <v>1.3014563740513966E-5</v>
      </c>
      <c r="F137" s="173">
        <f>(('National CEA estimate'!C25)*(Morbidity!K9)*F89)</f>
        <v>2.7466318568937401E-6</v>
      </c>
      <c r="G137" s="172">
        <f>(('National CEA estimate'!D25)*(Morbidity!K9)*G89)</f>
        <v>1.0986527427574976E-5</v>
      </c>
      <c r="H137" s="172">
        <f>(('National CEA estimate'!E25)*(Morbidity!K9)*H89)</f>
        <v>2.0599738926703083E-5</v>
      </c>
      <c r="I137" s="173">
        <f>(('National CEA estimate'!C25)*(Morbidity!K9)*I89)</f>
        <v>7.1033582505872695E-6</v>
      </c>
      <c r="J137" s="172">
        <f>(('National CEA estimate'!D25)*(Morbidity!K9)*J89)</f>
        <v>1.1442463910635928E-5</v>
      </c>
      <c r="K137" s="174">
        <f>(('National CEA estimate'!E25)*(Morbidity!K9)*K89)</f>
        <v>8.3836146794721837E-6</v>
      </c>
      <c r="L137" s="173">
        <f>(('National CEA estimate'!C25)*(Morbidity!K9)*L89)</f>
        <v>4.8994677341089245E-6</v>
      </c>
      <c r="M137" s="172">
        <f>(('National CEA estimate'!D25)*(Morbidity!K9)*M89)</f>
        <v>1.2391780935753173E-5</v>
      </c>
      <c r="N137" s="172">
        <f>(('National CEA estimate'!E25)*(Morbidity!K9)*N89)</f>
        <v>1.4691286676408404E-5</v>
      </c>
      <c r="O137" s="173">
        <f>(('National CEA estimate'!C25)*(Morbidity!K9)*O89)</f>
        <v>2.3754951544987203E-5</v>
      </c>
      <c r="P137" s="172">
        <f>(('National CEA estimate'!D25)*(Morbidity!K9)*P89)</f>
        <v>3.3274552896626954E-5</v>
      </c>
      <c r="Q137" s="174">
        <f>(('National CEA estimate'!E25)*(Morbidity!K9)*Q89)</f>
        <v>2.1797398166627681E-5</v>
      </c>
      <c r="R137" s="173">
        <f>(('National CEA estimate'!C25)*(Morbidity!K9)*R89)</f>
        <v>9.0063974842329735E-6</v>
      </c>
      <c r="S137" s="172">
        <f>(('National CEA estimate'!D25)*(Morbidity!K9)*S89)</f>
        <v>2.4017059957954597E-5</v>
      </c>
      <c r="T137" s="172">
        <f>(('National CEA estimate'!E25)*(Morbidity!K9)*T89)</f>
        <v>3.0021324947443257E-5</v>
      </c>
      <c r="U137" s="173">
        <f>(('National CEA estimate'!C25)*(Morbidity!K9)*U89)</f>
        <v>2.4845234439263386E-5</v>
      </c>
      <c r="V137" s="172">
        <f>(('National CEA estimate'!D25)*(Morbidity!K9)*V89)</f>
        <v>3.4704034913566834E-5</v>
      </c>
      <c r="W137" s="172">
        <f>(('National CEA estimate'!E25)*(Morbidity!K9)*W89)</f>
        <v>2.2675681609239054E-5</v>
      </c>
      <c r="X137" s="173">
        <f>(('National CEA estimate'!C25)*(Morbidity!K9)*X89)</f>
        <v>1.1892393325408853E-5</v>
      </c>
      <c r="Y137" s="172">
        <f>(('National CEA estimate'!D25)*(Morbidity!K9)*Y89)</f>
        <v>2.4528061233655763E-5</v>
      </c>
      <c r="Z137" s="172">
        <f>(('National CEA estimate'!E25)*(Morbidity!K9)*Z89)</f>
        <v>2.3713652950507039E-5</v>
      </c>
    </row>
    <row r="138" spans="1:29" ht="12.75" x14ac:dyDescent="0.2">
      <c r="A138" s="29" t="s">
        <v>70</v>
      </c>
      <c r="C138" s="172">
        <f>(('National CEA estimate'!C26)*(Morbidity!K10)*C90)</f>
        <v>0</v>
      </c>
      <c r="D138" s="172"/>
      <c r="E138" s="172"/>
      <c r="F138" s="181">
        <f>(('National CEA estimate'!C26)*(Morbidity!K10)*F90)</f>
        <v>0</v>
      </c>
      <c r="G138" s="172"/>
      <c r="H138" s="172"/>
      <c r="I138" s="173">
        <f>(('National CEA estimate'!C26)*(Morbidity!K10)*I90)</f>
        <v>0</v>
      </c>
      <c r="J138" s="172"/>
      <c r="K138" s="172"/>
      <c r="L138" s="173">
        <f>(('National CEA estimate'!C26)*(Morbidity!K10)*L90)</f>
        <v>0</v>
      </c>
      <c r="M138" s="172"/>
      <c r="N138" s="172"/>
      <c r="O138" s="173">
        <f>(('National CEA estimate'!C26)*(Morbidity!K10)*O90)</f>
        <v>0</v>
      </c>
      <c r="P138" s="172"/>
      <c r="Q138" s="172"/>
      <c r="R138" s="173">
        <f>(('National CEA estimate'!C26)*(Morbidity!K10)*R90)</f>
        <v>0</v>
      </c>
      <c r="S138" s="172"/>
      <c r="T138" s="172"/>
      <c r="U138" s="173">
        <f>(('National CEA estimate'!C26)*(Morbidity!K10)*U90)</f>
        <v>0</v>
      </c>
      <c r="V138" s="172"/>
      <c r="W138" s="172"/>
      <c r="X138" s="173">
        <f>(('National CEA estimate'!C26)*(Morbidity!K10)*X90)</f>
        <v>0</v>
      </c>
      <c r="Y138" s="172"/>
      <c r="Z138" s="172"/>
    </row>
    <row r="139" spans="1:29" ht="12.75" x14ac:dyDescent="0.2">
      <c r="A139" s="35" t="s">
        <v>88</v>
      </c>
      <c r="C139" s="172">
        <f>(('National CEA estimate'!C27)*(Morbidity!K11)*C86)</f>
        <v>6.0252575976771898E-5</v>
      </c>
      <c r="D139" s="172">
        <f>(('National CEA estimate'!D27)*(Morbidity!K11)*C86)</f>
        <v>6.3796470016848776E-5</v>
      </c>
      <c r="E139" s="172">
        <f>(('National CEA estimate'!E27)*(Morbidity!K11)*C86)</f>
        <v>1.417642622660639E-5</v>
      </c>
      <c r="F139" s="173">
        <f>(('National CEA estimate'!C27)*(Morbidity!K11)*F86)</f>
        <v>9.8306834488417363E-5</v>
      </c>
      <c r="G139" s="172">
        <f>(('National CEA estimate'!D27)*(Morbidity!K11)*F86)</f>
        <v>1.0408897739591122E-4</v>
      </c>
      <c r="H139" s="172">
        <f>(('National CEA estimate'!E27)*(Morbidity!K11)*F86)</f>
        <v>2.3129958580252547E-5</v>
      </c>
      <c r="I139" s="173">
        <f>(('National CEA estimate'!C27)*(Morbidity!K11)*I86)</f>
        <v>5.2007486632582062E-5</v>
      </c>
      <c r="J139" s="172">
        <f>(('National CEA estimate'!D27)*(Morbidity!K11)*I86)</f>
        <v>5.5066426751385258E-5</v>
      </c>
      <c r="K139" s="172">
        <f>(('National CEA estimate'!E27)*(Morbidity!K11)*I86)</f>
        <v>1.2236494216649726E-5</v>
      </c>
      <c r="L139" s="173">
        <f>(('National CEA estimate'!C27)*(Morbidity!K11)*L86)</f>
        <v>8.4353606367480705E-5</v>
      </c>
      <c r="M139" s="172">
        <f>(('National CEA estimate'!D27)*(Morbidity!K11)*L86)</f>
        <v>8.9315058023588329E-5</v>
      </c>
      <c r="N139" s="172">
        <f>(('National CEA estimate'!E27)*(Morbidity!K11)*L86)</f>
        <v>1.9846996717248957E-5</v>
      </c>
      <c r="O139" s="173">
        <f>(('National CEA estimate'!C27)*(Morbidity!K11)*O86)</f>
        <v>1.5855941046518927E-4</v>
      </c>
      <c r="P139" s="172">
        <f>(('National CEA estimate'!D27)*(Morbidity!K11)*O86)</f>
        <v>1.6788544741276002E-4</v>
      </c>
      <c r="Q139" s="172">
        <f>(('National CEA estimate'!E27)*(Morbidity!K11)*O86)</f>
        <v>3.7306384806858936E-5</v>
      </c>
      <c r="R139" s="173">
        <f>(('National CEA estimate'!C27)*(Morbidity!K11)*R86)</f>
        <v>1.236763401628476E-4</v>
      </c>
      <c r="S139" s="172">
        <f>(('National CEA estimate'!D27)*(Morbidity!K11)*R86)</f>
        <v>1.3095064898195274E-4</v>
      </c>
      <c r="T139" s="172">
        <f>(('National CEA estimate'!E27)*(Morbidity!K11)*R86)</f>
        <v>2.909898014934996E-5</v>
      </c>
      <c r="U139" s="173">
        <f>(('National CEA estimate'!C27)*(Morbidity!K11)*U86)</f>
        <v>1.3889804356750576E-4</v>
      </c>
      <c r="V139" s="172">
        <f>(('National CEA estimate'!D27)*(Morbidity!K11)*U86)</f>
        <v>1.4706765193357773E-4</v>
      </c>
      <c r="W139" s="172">
        <f>(('National CEA estimate'!E27)*(Morbidity!K11)*U86)</f>
        <v>3.2680393090808424E-5</v>
      </c>
      <c r="X139" s="173">
        <f>(('National CEA estimate'!C27)*(Morbidity!K11)*X86)</f>
        <v>2.2769131342801179E-4</v>
      </c>
      <c r="Y139" s="172">
        <f>(('National CEA estimate'!D27)*(Morbidity!K11)*X86)</f>
        <v>2.4108350248472338E-4</v>
      </c>
      <c r="Z139" s="172">
        <f>(('National CEA estimate'!E27)*(Morbidity!K11)*X86)</f>
        <v>5.3571968582649435E-5</v>
      </c>
    </row>
    <row r="140" spans="1:29" ht="12.75" x14ac:dyDescent="0.2">
      <c r="A140" s="35" t="s">
        <v>91</v>
      </c>
      <c r="C140" s="172">
        <f>(('National CEA estimate'!C28)*(Morbidity!K12)*C86) + (('National CEA estimate'!C28)*(Morbidity!K13)*C86)</f>
        <v>4.84729984205476E-4</v>
      </c>
      <c r="D140" s="172">
        <f>(('National CEA estimate'!D28)*(Morbidity!K12)*C86) + (('National CEA estimate'!D28)*(Morbidity!K13)*C86)</f>
        <v>7.2616399682510582E-5</v>
      </c>
      <c r="E140" s="172">
        <f>(('National CEA estimate'!E28)*(Morbidity!K12)*C86) + (('National CEA estimate'!E28)*(Morbidity!K13)*C86)</f>
        <v>2.9791343459491398E-5</v>
      </c>
      <c r="F140" s="173">
        <f>(('National CEA estimate'!C28)*(Morbidity!K12)*F86) + (('National CEA estimate'!C28)*(Morbidity!K13)*F86)</f>
        <v>7.9087523738788227E-4</v>
      </c>
      <c r="G140" s="172">
        <f>(('National CEA estimate'!D28)*(Morbidity!K12)*F86) + (('National CEA estimate'!D28)*(Morbidity!K13)*F86)</f>
        <v>1.1847938895567523E-4</v>
      </c>
      <c r="H140" s="172">
        <f>(('National CEA estimate'!E28)*(Morbidity!K12)*F86) + (('National CEA estimate'!E28)*(Morbidity!K13)*F86)</f>
        <v>4.8606928802328094E-5</v>
      </c>
      <c r="I140" s="173">
        <f>(('National CEA estimate'!C28)*(Morbidity!K12)*I86) + (('National CEA estimate'!C28)*(Morbidity!K13)*I86)</f>
        <v>4.1839851268262135E-4</v>
      </c>
      <c r="J140" s="172">
        <f>(('National CEA estimate'!D28)*(Morbidity!K12)*I86) + (('National CEA estimate'!D28)*(Morbidity!K13)*I86)</f>
        <v>6.2679418673324919E-5</v>
      </c>
      <c r="K140" s="172">
        <f>(('National CEA estimate'!E28)*(Morbidity!K12)*I86) + (('National CEA estimate'!E28)*(Morbidity!K13)*I86)</f>
        <v>2.5714633301876786E-5</v>
      </c>
      <c r="L140" s="173">
        <f>(('National CEA estimate'!C28)*(Morbidity!K12)*L86) + (('National CEA estimate'!C28)*(Morbidity!K13)*L86)</f>
        <v>6.786219778876667E-4</v>
      </c>
      <c r="M140" s="172">
        <f>(('National CEA estimate'!D28)*(Morbidity!K12)*L86) + (('National CEA estimate'!D28)*(Morbidity!K13)*L86)</f>
        <v>1.0166295955551486E-4</v>
      </c>
      <c r="N140" s="172">
        <f>(('National CEA estimate'!E28)*(Morbidity!K12)*L86) + (('National CEA estimate'!E28)*(Morbidity!K13)*L86)</f>
        <v>4.1707880843287977E-5</v>
      </c>
      <c r="O140" s="173">
        <f>(('National CEA estimate'!C28)*(Morbidity!K12)*O86) + (('National CEA estimate'!C28)*(Morbidity!K13)*O86)</f>
        <v>1.2756052215933584E-3</v>
      </c>
      <c r="P140" s="172">
        <f>(('National CEA estimate'!D28)*(Morbidity!K12)*O86) + (('National CEA estimate'!D28)*(Morbidity!K13)*O86)</f>
        <v>1.910957886381858E-4</v>
      </c>
      <c r="Q140" s="172">
        <f>(('National CEA estimate'!E28)*(Morbidity!K12)*O86) + (('National CEA estimate'!E28)*(Morbidity!K13)*O86)</f>
        <v>7.8398272261819498E-5</v>
      </c>
      <c r="R140" s="173">
        <f>(('National CEA estimate'!C28)*(Morbidity!K12)*R86) + (('National CEA estimate'!C28)*(Morbidity!K13)*R86)</f>
        <v>9.9497207284281923E-4</v>
      </c>
      <c r="S140" s="172">
        <f>(('National CEA estimate'!D28)*(Morbidity!K12)*R86) + (('National CEA estimate'!D28)*(Morbidity!K13)*R86)</f>
        <v>1.4905471513778487E-4</v>
      </c>
      <c r="T140" s="172">
        <f>(('National CEA estimate'!E28)*(Morbidity!K12)*R86) + (('National CEA estimate'!E28)*(Morbidity!K13)*R86)</f>
        <v>6.1150652364219186E-5</v>
      </c>
      <c r="U140" s="173">
        <f>(('National CEA estimate'!C28)*(Morbidity!K12)*U86) + (('National CEA estimate'!C28)*(Morbidity!K13)*U86)</f>
        <v>1.1174301741157817E-3</v>
      </c>
      <c r="V140" s="172">
        <f>(('National CEA estimate'!D28)*(Morbidity!K12)*U86) + (('National CEA estimate'!D28)*(Morbidity!K13)*U86)</f>
        <v>1.6739991084705074E-4</v>
      </c>
      <c r="W140" s="172">
        <f>(('National CEA estimate'!E28)*(Morbidity!K12)*U86) + (('National CEA estimate'!E28)*(Morbidity!K13)*U86)</f>
        <v>6.867688650135387E-5</v>
      </c>
      <c r="X140" s="173">
        <f>(('National CEA estimate'!C28)*(Morbidity!K12)*X86) + (('National CEA estimate'!C28)*(Morbidity!K13)*X86)</f>
        <v>1.8317690982080626E-3</v>
      </c>
      <c r="Y140" s="172">
        <f>(('National CEA estimate'!D28)*(Morbidity!K12)*X86) + (('National CEA estimate'!D28)*(Morbidity!K13)*X86)</f>
        <v>2.7441355248443482E-4</v>
      </c>
      <c r="Z140" s="172">
        <f>(('National CEA estimate'!E28)*(Morbidity!K12)*X86) + (('National CEA estimate'!E28)*(Morbidity!K13)*X86)</f>
        <v>1.125799189679728E-4</v>
      </c>
    </row>
    <row r="141" spans="1:29" ht="12.75" x14ac:dyDescent="0.2">
      <c r="A141" s="35" t="s">
        <v>93</v>
      </c>
      <c r="C141" s="172"/>
      <c r="D141" s="172"/>
      <c r="E141" s="172"/>
      <c r="F141" s="173"/>
      <c r="G141" s="172"/>
      <c r="H141" s="172"/>
      <c r="I141" s="173"/>
      <c r="J141" s="172"/>
      <c r="K141" s="172"/>
      <c r="L141" s="173"/>
      <c r="M141" s="172"/>
      <c r="N141" s="172"/>
      <c r="O141" s="173"/>
      <c r="P141" s="172"/>
      <c r="Q141" s="172"/>
      <c r="R141" s="173"/>
      <c r="S141" s="172"/>
      <c r="T141" s="172"/>
      <c r="U141" s="173"/>
      <c r="V141" s="172"/>
      <c r="W141" s="172"/>
      <c r="X141" s="173"/>
      <c r="Y141" s="172"/>
      <c r="Z141" s="172"/>
    </row>
    <row r="142" spans="1:29" ht="12.75" x14ac:dyDescent="0.2">
      <c r="A142" s="35" t="s">
        <v>95</v>
      </c>
      <c r="C142" s="172">
        <f>(('National CEA estimate'!C30)*(Morbidity!K14)*C86)</f>
        <v>1.8016169056295713E-4</v>
      </c>
      <c r="D142" s="172"/>
      <c r="E142" s="172"/>
      <c r="F142" s="173">
        <f>(('National CEA estimate'!C30)*(Morbidity!K14)*F86)</f>
        <v>2.9394802144482496E-4</v>
      </c>
      <c r="G142" s="172"/>
      <c r="H142" s="172"/>
      <c r="I142" s="173"/>
      <c r="J142" s="172"/>
      <c r="K142" s="172"/>
      <c r="L142" s="173"/>
      <c r="M142" s="172"/>
      <c r="N142" s="172"/>
      <c r="O142" s="173"/>
      <c r="P142" s="172"/>
      <c r="Q142" s="172"/>
      <c r="R142" s="173"/>
      <c r="S142" s="172"/>
      <c r="T142" s="172"/>
      <c r="U142" s="173"/>
      <c r="V142" s="172"/>
      <c r="W142" s="172"/>
      <c r="X142" s="173"/>
      <c r="Y142" s="172"/>
      <c r="Z142" s="172"/>
    </row>
    <row r="143" spans="1:29" ht="12.75" x14ac:dyDescent="0.2">
      <c r="A143" s="35" t="s">
        <v>98</v>
      </c>
      <c r="C143" s="172">
        <f>(('National CEA estimate'!C31)*(Morbidity!K15)*C90)</f>
        <v>0</v>
      </c>
      <c r="D143" s="172"/>
      <c r="E143" s="172"/>
      <c r="F143" s="173">
        <f>(('National CEA estimate'!C31)*(Morbidity!K15)*F90)</f>
        <v>0</v>
      </c>
      <c r="G143" s="172"/>
      <c r="H143" s="172"/>
      <c r="I143" s="173">
        <f>(('National CEA estimate'!C31)*(Morbidity!K15)*I90)</f>
        <v>0</v>
      </c>
      <c r="J143" s="172"/>
      <c r="K143" s="172"/>
      <c r="L143" s="173">
        <f>(('National CEA estimate'!C31)*(Morbidity!K15)*L90)</f>
        <v>0</v>
      </c>
      <c r="M143" s="172"/>
      <c r="N143" s="172"/>
      <c r="O143" s="173">
        <f>(('National CEA estimate'!C31)*(Morbidity!K15)*O90)</f>
        <v>0</v>
      </c>
      <c r="P143" s="172"/>
      <c r="Q143" s="172"/>
      <c r="R143" s="173">
        <f>(('National CEA estimate'!C31)*(Morbidity!K15)*R90)</f>
        <v>0</v>
      </c>
      <c r="S143" s="172"/>
      <c r="T143" s="172"/>
      <c r="U143" s="173">
        <f>(('National CEA estimate'!C31)*(Morbidity!K15)*U90)</f>
        <v>0</v>
      </c>
      <c r="V143" s="172"/>
      <c r="W143" s="172"/>
      <c r="X143" s="173">
        <f>(('National CEA estimate'!C31)*(Morbidity!K15)*X90)</f>
        <v>0</v>
      </c>
      <c r="Y143" s="172"/>
      <c r="Z143" s="172"/>
    </row>
    <row r="144" spans="1:29" ht="12.75" x14ac:dyDescent="0.2">
      <c r="A144" s="1"/>
    </row>
    <row r="145" spans="1:8" ht="12.75" x14ac:dyDescent="0.2">
      <c r="A145" s="1"/>
    </row>
    <row r="146" spans="1:8" ht="12.75" x14ac:dyDescent="0.2">
      <c r="A146" s="1"/>
      <c r="E146" s="98"/>
      <c r="H146" s="98"/>
    </row>
    <row r="147" spans="1:8" ht="12.75" x14ac:dyDescent="0.2">
      <c r="A147" s="1"/>
      <c r="H147" s="98"/>
    </row>
    <row r="148" spans="1:8" ht="12.75" x14ac:dyDescent="0.2">
      <c r="A148" s="1"/>
    </row>
    <row r="149" spans="1:8" ht="12.75" x14ac:dyDescent="0.2">
      <c r="A149" s="1"/>
    </row>
    <row r="150" spans="1:8" ht="12.75" x14ac:dyDescent="0.2">
      <c r="A150" s="1"/>
    </row>
    <row r="151" spans="1:8" ht="12.75" x14ac:dyDescent="0.2">
      <c r="A151" s="1"/>
    </row>
    <row r="152" spans="1:8" ht="12.75" x14ac:dyDescent="0.2">
      <c r="A152" s="1"/>
    </row>
    <row r="153" spans="1:8" ht="12.75" x14ac:dyDescent="0.2">
      <c r="A153" s="1"/>
    </row>
    <row r="154" spans="1:8" ht="12.75" x14ac:dyDescent="0.2">
      <c r="A154" s="1"/>
    </row>
    <row r="155" spans="1:8" ht="12.75" x14ac:dyDescent="0.2">
      <c r="A155" s="1"/>
    </row>
    <row r="156" spans="1:8" ht="12.75" x14ac:dyDescent="0.2">
      <c r="A156" s="1"/>
    </row>
    <row r="157" spans="1:8" ht="12.75" x14ac:dyDescent="0.2">
      <c r="A157" s="1"/>
    </row>
    <row r="158" spans="1:8" ht="12.75" x14ac:dyDescent="0.2">
      <c r="A158" s="1"/>
    </row>
    <row r="159" spans="1:8" ht="12.75" x14ac:dyDescent="0.2">
      <c r="A159" s="1"/>
    </row>
    <row r="160" spans="1:8" ht="12.75" x14ac:dyDescent="0.2">
      <c r="A160" s="1"/>
    </row>
    <row r="161" spans="1:1" ht="12.75" x14ac:dyDescent="0.2">
      <c r="A161" s="1"/>
    </row>
    <row r="162" spans="1:1" ht="12.75" x14ac:dyDescent="0.2">
      <c r="A162" s="1"/>
    </row>
    <row r="163" spans="1:1" ht="12.75" x14ac:dyDescent="0.2">
      <c r="A163" s="1"/>
    </row>
    <row r="164" spans="1:1" ht="12.75" x14ac:dyDescent="0.2">
      <c r="A164" s="1"/>
    </row>
    <row r="165" spans="1:1" ht="12.75" x14ac:dyDescent="0.2">
      <c r="A165" s="1"/>
    </row>
    <row r="166" spans="1:1" ht="12.75" x14ac:dyDescent="0.2">
      <c r="A166" s="1"/>
    </row>
    <row r="167" spans="1:1" ht="12.75" x14ac:dyDescent="0.2">
      <c r="A167" s="1"/>
    </row>
    <row r="168" spans="1:1" ht="12.75" x14ac:dyDescent="0.2">
      <c r="A168" s="1"/>
    </row>
    <row r="169" spans="1:1" ht="12.75" x14ac:dyDescent="0.2">
      <c r="A169" s="1"/>
    </row>
    <row r="170" spans="1:1" ht="12.75" x14ac:dyDescent="0.2">
      <c r="A170" s="1"/>
    </row>
    <row r="171" spans="1:1" ht="12.75" x14ac:dyDescent="0.2">
      <c r="A171" s="1"/>
    </row>
    <row r="172" spans="1:1" ht="12.75" x14ac:dyDescent="0.2">
      <c r="A172" s="1"/>
    </row>
    <row r="173" spans="1:1" ht="12.75" x14ac:dyDescent="0.2">
      <c r="A173" s="1"/>
    </row>
    <row r="174" spans="1:1" ht="12.75" x14ac:dyDescent="0.2">
      <c r="A174" s="1"/>
    </row>
    <row r="175" spans="1:1" ht="12.75" x14ac:dyDescent="0.2">
      <c r="A175" s="1"/>
    </row>
    <row r="176" spans="1:1" ht="12.75" x14ac:dyDescent="0.2">
      <c r="A176" s="1"/>
    </row>
    <row r="177" spans="1:1" ht="12.75" x14ac:dyDescent="0.2">
      <c r="A177" s="1"/>
    </row>
    <row r="178" spans="1:1" ht="12.75" x14ac:dyDescent="0.2">
      <c r="A178" s="1"/>
    </row>
    <row r="179" spans="1:1" ht="12.75" x14ac:dyDescent="0.2">
      <c r="A179" s="1"/>
    </row>
    <row r="180" spans="1:1" ht="12.75" x14ac:dyDescent="0.2">
      <c r="A180" s="1"/>
    </row>
    <row r="181" spans="1:1" ht="12.75" x14ac:dyDescent="0.2">
      <c r="A181" s="1"/>
    </row>
    <row r="182" spans="1:1" ht="12.75" x14ac:dyDescent="0.2">
      <c r="A182" s="1"/>
    </row>
    <row r="183" spans="1:1" ht="12.75" x14ac:dyDescent="0.2">
      <c r="A183" s="1"/>
    </row>
    <row r="184" spans="1:1" ht="12.75" x14ac:dyDescent="0.2">
      <c r="A184" s="1"/>
    </row>
    <row r="185" spans="1:1" ht="12.75" x14ac:dyDescent="0.2">
      <c r="A185" s="1"/>
    </row>
    <row r="186" spans="1:1" ht="12.75" x14ac:dyDescent="0.2">
      <c r="A186" s="1"/>
    </row>
    <row r="187" spans="1:1" ht="12.75" x14ac:dyDescent="0.2">
      <c r="A187" s="1"/>
    </row>
    <row r="188" spans="1:1" ht="12.75" x14ac:dyDescent="0.2">
      <c r="A188" s="1"/>
    </row>
    <row r="189" spans="1:1" ht="12.75" x14ac:dyDescent="0.2">
      <c r="A189" s="1"/>
    </row>
    <row r="190" spans="1:1" ht="12.75" x14ac:dyDescent="0.2">
      <c r="A190" s="1"/>
    </row>
    <row r="191" spans="1:1" ht="12.75" x14ac:dyDescent="0.2">
      <c r="A191" s="1"/>
    </row>
    <row r="192" spans="1:1" ht="12.75" x14ac:dyDescent="0.2">
      <c r="A192" s="1"/>
    </row>
    <row r="193" spans="1:1" ht="12.75" x14ac:dyDescent="0.2">
      <c r="A193" s="1"/>
    </row>
    <row r="194" spans="1:1" ht="12.75" x14ac:dyDescent="0.2">
      <c r="A194" s="1"/>
    </row>
    <row r="195" spans="1:1" ht="12.75" x14ac:dyDescent="0.2">
      <c r="A195" s="1"/>
    </row>
    <row r="196" spans="1:1" ht="12.75" x14ac:dyDescent="0.2">
      <c r="A196" s="1"/>
    </row>
    <row r="197" spans="1:1" ht="12.75" x14ac:dyDescent="0.2">
      <c r="A197" s="1"/>
    </row>
    <row r="198" spans="1:1" ht="12.75" x14ac:dyDescent="0.2">
      <c r="A198" s="1"/>
    </row>
    <row r="199" spans="1:1" ht="12.75" x14ac:dyDescent="0.2">
      <c r="A199" s="1"/>
    </row>
    <row r="200" spans="1:1" ht="12.75" x14ac:dyDescent="0.2">
      <c r="A200" s="1"/>
    </row>
    <row r="201" spans="1:1" ht="12.75" x14ac:dyDescent="0.2">
      <c r="A201" s="1"/>
    </row>
    <row r="202" spans="1:1" ht="12.75" x14ac:dyDescent="0.2">
      <c r="A202" s="1"/>
    </row>
    <row r="203" spans="1:1" ht="12.75" x14ac:dyDescent="0.2">
      <c r="A203" s="1"/>
    </row>
    <row r="204" spans="1:1" ht="12.75" x14ac:dyDescent="0.2">
      <c r="A204" s="1"/>
    </row>
    <row r="205" spans="1:1" ht="12.75" x14ac:dyDescent="0.2">
      <c r="A205" s="1"/>
    </row>
    <row r="206" spans="1:1" ht="12.75" x14ac:dyDescent="0.2">
      <c r="A206" s="1"/>
    </row>
    <row r="207" spans="1:1" ht="12.75" x14ac:dyDescent="0.2">
      <c r="A207" s="1"/>
    </row>
    <row r="208" spans="1:1" ht="12.75" x14ac:dyDescent="0.2">
      <c r="A208" s="1"/>
    </row>
    <row r="209" spans="1:1" ht="12.75" x14ac:dyDescent="0.2">
      <c r="A209" s="1"/>
    </row>
    <row r="210" spans="1:1" ht="12.75" x14ac:dyDescent="0.2">
      <c r="A210" s="1"/>
    </row>
    <row r="211" spans="1:1" ht="12.75" x14ac:dyDescent="0.2">
      <c r="A211" s="1"/>
    </row>
    <row r="212" spans="1:1" ht="12.75" x14ac:dyDescent="0.2">
      <c r="A212" s="1"/>
    </row>
    <row r="213" spans="1:1" ht="12.75" x14ac:dyDescent="0.2">
      <c r="A213" s="1"/>
    </row>
    <row r="214" spans="1:1" ht="12.75" x14ac:dyDescent="0.2">
      <c r="A214" s="1"/>
    </row>
    <row r="215" spans="1:1" ht="12.75" x14ac:dyDescent="0.2">
      <c r="A215" s="1"/>
    </row>
    <row r="216" spans="1:1" ht="12.75" x14ac:dyDescent="0.2">
      <c r="A216" s="1"/>
    </row>
    <row r="217" spans="1:1" ht="12.75" x14ac:dyDescent="0.2">
      <c r="A217" s="1"/>
    </row>
    <row r="218" spans="1:1" ht="12.75" x14ac:dyDescent="0.2">
      <c r="A218" s="1"/>
    </row>
    <row r="219" spans="1:1" ht="12.75" x14ac:dyDescent="0.2">
      <c r="A219" s="1"/>
    </row>
    <row r="220" spans="1:1" ht="12.75" x14ac:dyDescent="0.2">
      <c r="A220" s="1"/>
    </row>
    <row r="221" spans="1:1" ht="12.75" x14ac:dyDescent="0.2">
      <c r="A221" s="1"/>
    </row>
    <row r="222" spans="1:1" ht="12.75" x14ac:dyDescent="0.2">
      <c r="A222" s="1"/>
    </row>
    <row r="223" spans="1:1" ht="12.75" x14ac:dyDescent="0.2">
      <c r="A223" s="1"/>
    </row>
    <row r="224" spans="1:1" ht="12.75" x14ac:dyDescent="0.2">
      <c r="A224" s="1"/>
    </row>
    <row r="225" spans="1:1" ht="12.75" x14ac:dyDescent="0.2">
      <c r="A225" s="1"/>
    </row>
    <row r="226" spans="1:1" ht="12.75" x14ac:dyDescent="0.2">
      <c r="A226" s="1"/>
    </row>
    <row r="227" spans="1:1" ht="12.75" x14ac:dyDescent="0.2">
      <c r="A227" s="1"/>
    </row>
    <row r="228" spans="1:1" ht="12.75" x14ac:dyDescent="0.2">
      <c r="A228" s="1"/>
    </row>
    <row r="229" spans="1:1" ht="12.75" x14ac:dyDescent="0.2">
      <c r="A229" s="1"/>
    </row>
    <row r="230" spans="1:1" ht="12.75" x14ac:dyDescent="0.2">
      <c r="A230" s="1"/>
    </row>
    <row r="231" spans="1:1" ht="12.75" x14ac:dyDescent="0.2">
      <c r="A231" s="1"/>
    </row>
    <row r="232" spans="1:1" ht="12.75" x14ac:dyDescent="0.2">
      <c r="A232" s="1"/>
    </row>
    <row r="233" spans="1:1" ht="12.75" x14ac:dyDescent="0.2">
      <c r="A233" s="1"/>
    </row>
    <row r="234" spans="1:1" ht="12.75" x14ac:dyDescent="0.2">
      <c r="A234" s="1"/>
    </row>
    <row r="235" spans="1:1" ht="12.75" x14ac:dyDescent="0.2">
      <c r="A235" s="1"/>
    </row>
    <row r="236" spans="1:1" ht="12.75" x14ac:dyDescent="0.2">
      <c r="A236" s="1"/>
    </row>
    <row r="237" spans="1:1" ht="12.75" x14ac:dyDescent="0.2">
      <c r="A237" s="1"/>
    </row>
    <row r="238" spans="1:1" ht="12.75" x14ac:dyDescent="0.2">
      <c r="A238" s="1"/>
    </row>
    <row r="239" spans="1:1" ht="12.75" x14ac:dyDescent="0.2">
      <c r="A239" s="1"/>
    </row>
    <row r="240" spans="1:1" ht="12.75" x14ac:dyDescent="0.2">
      <c r="A240" s="1"/>
    </row>
    <row r="241" spans="1:1" ht="12.75" x14ac:dyDescent="0.2">
      <c r="A241" s="1"/>
    </row>
    <row r="242" spans="1:1" ht="12.75" x14ac:dyDescent="0.2">
      <c r="A242" s="1"/>
    </row>
    <row r="243" spans="1:1" ht="12.75" x14ac:dyDescent="0.2">
      <c r="A243" s="1"/>
    </row>
    <row r="244" spans="1:1" ht="12.75" x14ac:dyDescent="0.2">
      <c r="A244" s="1"/>
    </row>
    <row r="245" spans="1:1" ht="12.75" x14ac:dyDescent="0.2">
      <c r="A245" s="1"/>
    </row>
    <row r="246" spans="1:1" ht="12.75" x14ac:dyDescent="0.2">
      <c r="A246" s="1"/>
    </row>
    <row r="247" spans="1:1" ht="12.75" x14ac:dyDescent="0.2">
      <c r="A247" s="1"/>
    </row>
    <row r="248" spans="1:1" ht="12.75" x14ac:dyDescent="0.2">
      <c r="A248" s="1"/>
    </row>
    <row r="249" spans="1:1" ht="12.75" x14ac:dyDescent="0.2">
      <c r="A249" s="1"/>
    </row>
    <row r="250" spans="1:1" ht="12.75" x14ac:dyDescent="0.2">
      <c r="A250" s="1"/>
    </row>
    <row r="251" spans="1:1" ht="12.75" x14ac:dyDescent="0.2">
      <c r="A251" s="1"/>
    </row>
    <row r="252" spans="1:1" ht="12.75" x14ac:dyDescent="0.2">
      <c r="A252" s="1"/>
    </row>
    <row r="253" spans="1:1" ht="12.75" x14ac:dyDescent="0.2">
      <c r="A253" s="1"/>
    </row>
    <row r="254" spans="1:1" ht="12.75" x14ac:dyDescent="0.2">
      <c r="A254" s="1"/>
    </row>
    <row r="255" spans="1:1" ht="12.75" x14ac:dyDescent="0.2">
      <c r="A255" s="1"/>
    </row>
    <row r="256" spans="1:1" ht="12.75" x14ac:dyDescent="0.2">
      <c r="A256" s="1"/>
    </row>
    <row r="257" spans="1:1" ht="12.75" x14ac:dyDescent="0.2">
      <c r="A257" s="1"/>
    </row>
    <row r="258" spans="1:1" ht="12.75" x14ac:dyDescent="0.2">
      <c r="A258" s="1"/>
    </row>
    <row r="259" spans="1:1" ht="12.75" x14ac:dyDescent="0.2">
      <c r="A259" s="1"/>
    </row>
    <row r="260" spans="1:1" ht="12.75" x14ac:dyDescent="0.2">
      <c r="A260" s="1"/>
    </row>
    <row r="261" spans="1:1" ht="12.75" x14ac:dyDescent="0.2">
      <c r="A261" s="1"/>
    </row>
    <row r="262" spans="1:1" ht="12.75" x14ac:dyDescent="0.2">
      <c r="A262" s="1"/>
    </row>
    <row r="263" spans="1:1" ht="12.75" x14ac:dyDescent="0.2">
      <c r="A263" s="1"/>
    </row>
    <row r="264" spans="1:1" ht="12.75" x14ac:dyDescent="0.2">
      <c r="A264" s="1"/>
    </row>
    <row r="265" spans="1:1" ht="12.75" x14ac:dyDescent="0.2">
      <c r="A265" s="1"/>
    </row>
    <row r="266" spans="1:1" ht="12.75" x14ac:dyDescent="0.2">
      <c r="A266" s="1"/>
    </row>
    <row r="267" spans="1:1" ht="12.75" x14ac:dyDescent="0.2">
      <c r="A267" s="1"/>
    </row>
    <row r="268" spans="1:1" ht="12.75" x14ac:dyDescent="0.2">
      <c r="A268" s="1"/>
    </row>
    <row r="269" spans="1:1" ht="12.75" x14ac:dyDescent="0.2">
      <c r="A269" s="1"/>
    </row>
    <row r="270" spans="1:1" ht="12.75" x14ac:dyDescent="0.2">
      <c r="A270" s="1"/>
    </row>
    <row r="271" spans="1:1" ht="12.75" x14ac:dyDescent="0.2">
      <c r="A271" s="1"/>
    </row>
    <row r="272" spans="1:1" ht="12.75" x14ac:dyDescent="0.2">
      <c r="A272" s="1"/>
    </row>
    <row r="273" spans="1:1" ht="12.75" x14ac:dyDescent="0.2">
      <c r="A273" s="1"/>
    </row>
    <row r="274" spans="1:1" ht="12.75" x14ac:dyDescent="0.2">
      <c r="A274" s="1"/>
    </row>
    <row r="275" spans="1:1" ht="12.75" x14ac:dyDescent="0.2">
      <c r="A275" s="1"/>
    </row>
    <row r="276" spans="1:1" ht="12.75" x14ac:dyDescent="0.2">
      <c r="A276" s="1"/>
    </row>
    <row r="277" spans="1:1" ht="12.75" x14ac:dyDescent="0.2">
      <c r="A277" s="1"/>
    </row>
    <row r="278" spans="1:1" ht="12.75" x14ac:dyDescent="0.2">
      <c r="A278" s="1"/>
    </row>
    <row r="279" spans="1:1" ht="12.75" x14ac:dyDescent="0.2">
      <c r="A279" s="1"/>
    </row>
    <row r="280" spans="1:1" ht="12.75" x14ac:dyDescent="0.2">
      <c r="A280" s="1"/>
    </row>
    <row r="281" spans="1:1" ht="12.75" x14ac:dyDescent="0.2">
      <c r="A281" s="1"/>
    </row>
    <row r="282" spans="1:1" ht="12.75" x14ac:dyDescent="0.2">
      <c r="A282" s="1"/>
    </row>
    <row r="283" spans="1:1" ht="12.75" x14ac:dyDescent="0.2">
      <c r="A283" s="1"/>
    </row>
    <row r="284" spans="1:1" ht="12.75" x14ac:dyDescent="0.2">
      <c r="A284" s="1"/>
    </row>
    <row r="285" spans="1:1" ht="12.75" x14ac:dyDescent="0.2">
      <c r="A285" s="1"/>
    </row>
    <row r="286" spans="1:1" ht="12.75" x14ac:dyDescent="0.2">
      <c r="A286" s="1"/>
    </row>
    <row r="287" spans="1:1" ht="12.75" x14ac:dyDescent="0.2">
      <c r="A287" s="1"/>
    </row>
    <row r="288" spans="1:1" ht="12.75" x14ac:dyDescent="0.2">
      <c r="A288" s="1"/>
    </row>
    <row r="289" spans="1:1" ht="12.75" x14ac:dyDescent="0.2">
      <c r="A289" s="1"/>
    </row>
    <row r="290" spans="1:1" ht="12.75" x14ac:dyDescent="0.2">
      <c r="A290" s="1"/>
    </row>
    <row r="291" spans="1:1" ht="12.75" x14ac:dyDescent="0.2">
      <c r="A291" s="1"/>
    </row>
    <row r="292" spans="1:1" ht="12.75" x14ac:dyDescent="0.2">
      <c r="A292" s="1"/>
    </row>
    <row r="293" spans="1:1" ht="12.75" x14ac:dyDescent="0.2">
      <c r="A293" s="1"/>
    </row>
    <row r="294" spans="1:1" ht="12.75" x14ac:dyDescent="0.2">
      <c r="A294" s="1"/>
    </row>
    <row r="295" spans="1:1" ht="12.75" x14ac:dyDescent="0.2">
      <c r="A295" s="1"/>
    </row>
    <row r="296" spans="1:1" ht="12.75" x14ac:dyDescent="0.2">
      <c r="A296" s="1"/>
    </row>
    <row r="297" spans="1:1" ht="12.75" x14ac:dyDescent="0.2">
      <c r="A297" s="1"/>
    </row>
    <row r="298" spans="1:1" ht="12.75" x14ac:dyDescent="0.2">
      <c r="A298" s="1"/>
    </row>
    <row r="299" spans="1:1" ht="12.75" x14ac:dyDescent="0.2">
      <c r="A299" s="1"/>
    </row>
    <row r="300" spans="1:1" ht="12.75" x14ac:dyDescent="0.2">
      <c r="A300" s="1"/>
    </row>
    <row r="301" spans="1:1" ht="12.75" x14ac:dyDescent="0.2">
      <c r="A301" s="1"/>
    </row>
    <row r="302" spans="1:1" ht="12.75" x14ac:dyDescent="0.2">
      <c r="A302" s="1"/>
    </row>
    <row r="303" spans="1:1" ht="12.75" x14ac:dyDescent="0.2">
      <c r="A303" s="1"/>
    </row>
    <row r="304" spans="1:1" ht="12.75" x14ac:dyDescent="0.2">
      <c r="A304" s="1"/>
    </row>
    <row r="305" spans="1:1" ht="12.75" x14ac:dyDescent="0.2">
      <c r="A305" s="1"/>
    </row>
    <row r="306" spans="1:1" ht="12.75" x14ac:dyDescent="0.2">
      <c r="A306" s="1"/>
    </row>
    <row r="307" spans="1:1" ht="12.75" x14ac:dyDescent="0.2">
      <c r="A307" s="1"/>
    </row>
    <row r="308" spans="1:1" ht="12.75" x14ac:dyDescent="0.2">
      <c r="A308" s="1"/>
    </row>
    <row r="309" spans="1:1" ht="12.75" x14ac:dyDescent="0.2">
      <c r="A309" s="1"/>
    </row>
    <row r="310" spans="1:1" ht="12.75" x14ac:dyDescent="0.2">
      <c r="A310" s="1"/>
    </row>
    <row r="311" spans="1:1" ht="12.75" x14ac:dyDescent="0.2">
      <c r="A311" s="1"/>
    </row>
    <row r="312" spans="1:1" ht="12.75" x14ac:dyDescent="0.2">
      <c r="A312" s="1"/>
    </row>
    <row r="313" spans="1:1" ht="12.75" x14ac:dyDescent="0.2">
      <c r="A313" s="1"/>
    </row>
    <row r="314" spans="1:1" ht="12.75" x14ac:dyDescent="0.2">
      <c r="A314" s="1"/>
    </row>
    <row r="315" spans="1:1" ht="12.75" x14ac:dyDescent="0.2">
      <c r="A315" s="1"/>
    </row>
    <row r="316" spans="1:1" ht="12.75" x14ac:dyDescent="0.2">
      <c r="A316" s="1"/>
    </row>
    <row r="317" spans="1:1" ht="12.75" x14ac:dyDescent="0.2">
      <c r="A317" s="1"/>
    </row>
    <row r="318" spans="1:1" ht="12.75" x14ac:dyDescent="0.2">
      <c r="A318" s="1"/>
    </row>
    <row r="319" spans="1:1" ht="12.75" x14ac:dyDescent="0.2">
      <c r="A319" s="1"/>
    </row>
    <row r="320" spans="1:1" ht="12.75" x14ac:dyDescent="0.2">
      <c r="A320" s="1"/>
    </row>
    <row r="321" spans="1:1" ht="12.75" x14ac:dyDescent="0.2">
      <c r="A321" s="1"/>
    </row>
    <row r="322" spans="1:1" ht="12.75" x14ac:dyDescent="0.2">
      <c r="A322" s="1"/>
    </row>
    <row r="323" spans="1:1" ht="12.75" x14ac:dyDescent="0.2">
      <c r="A323" s="1"/>
    </row>
    <row r="324" spans="1:1" ht="12.75" x14ac:dyDescent="0.2">
      <c r="A324" s="1"/>
    </row>
    <row r="325" spans="1:1" ht="12.75" x14ac:dyDescent="0.2">
      <c r="A325" s="1"/>
    </row>
    <row r="326" spans="1:1" ht="12.75" x14ac:dyDescent="0.2">
      <c r="A326" s="1"/>
    </row>
    <row r="327" spans="1:1" ht="12.75" x14ac:dyDescent="0.2">
      <c r="A327" s="1"/>
    </row>
    <row r="328" spans="1:1" ht="12.75" x14ac:dyDescent="0.2">
      <c r="A328" s="1"/>
    </row>
    <row r="329" spans="1:1" ht="12.75" x14ac:dyDescent="0.2">
      <c r="A329" s="1"/>
    </row>
    <row r="330" spans="1:1" ht="12.75" x14ac:dyDescent="0.2">
      <c r="A330" s="1"/>
    </row>
    <row r="331" spans="1:1" ht="12.75" x14ac:dyDescent="0.2">
      <c r="A331" s="1"/>
    </row>
    <row r="332" spans="1:1" ht="12.75" x14ac:dyDescent="0.2">
      <c r="A332" s="1"/>
    </row>
    <row r="333" spans="1:1" ht="12.75" x14ac:dyDescent="0.2">
      <c r="A333" s="1"/>
    </row>
    <row r="334" spans="1:1" ht="12.75" x14ac:dyDescent="0.2">
      <c r="A334" s="1"/>
    </row>
    <row r="335" spans="1:1" ht="12.75" x14ac:dyDescent="0.2">
      <c r="A335" s="1"/>
    </row>
    <row r="336" spans="1:1" ht="12.75" x14ac:dyDescent="0.2">
      <c r="A336" s="1"/>
    </row>
    <row r="337" spans="1:1" ht="12.75" x14ac:dyDescent="0.2">
      <c r="A337" s="1"/>
    </row>
    <row r="338" spans="1:1" ht="12.75" x14ac:dyDescent="0.2">
      <c r="A338" s="1"/>
    </row>
    <row r="339" spans="1:1" ht="12.75" x14ac:dyDescent="0.2">
      <c r="A339" s="1"/>
    </row>
    <row r="340" spans="1:1" ht="12.75" x14ac:dyDescent="0.2">
      <c r="A340" s="1"/>
    </row>
    <row r="341" spans="1:1" ht="12.75" x14ac:dyDescent="0.2">
      <c r="A341" s="1"/>
    </row>
    <row r="342" spans="1:1" ht="12.75" x14ac:dyDescent="0.2">
      <c r="A342" s="1"/>
    </row>
    <row r="343" spans="1:1" ht="12.75" x14ac:dyDescent="0.2">
      <c r="A343" s="1"/>
    </row>
    <row r="344" spans="1:1" ht="12.75" x14ac:dyDescent="0.2">
      <c r="A344" s="1"/>
    </row>
    <row r="345" spans="1:1" ht="12.75" x14ac:dyDescent="0.2">
      <c r="A345" s="1"/>
    </row>
    <row r="346" spans="1:1" ht="12.75" x14ac:dyDescent="0.2">
      <c r="A346" s="1"/>
    </row>
    <row r="347" spans="1:1" ht="12.75" x14ac:dyDescent="0.2">
      <c r="A347" s="1"/>
    </row>
    <row r="348" spans="1:1" ht="12.75" x14ac:dyDescent="0.2">
      <c r="A348" s="1"/>
    </row>
    <row r="349" spans="1:1" ht="12.75" x14ac:dyDescent="0.2">
      <c r="A349" s="1"/>
    </row>
    <row r="350" spans="1:1" ht="12.75" x14ac:dyDescent="0.2">
      <c r="A350" s="1"/>
    </row>
    <row r="351" spans="1:1" ht="12.75" x14ac:dyDescent="0.2">
      <c r="A351" s="1"/>
    </row>
    <row r="352" spans="1:1" ht="12.75" x14ac:dyDescent="0.2">
      <c r="A352" s="1"/>
    </row>
    <row r="353" spans="1:1" ht="12.75" x14ac:dyDescent="0.2">
      <c r="A353" s="1"/>
    </row>
    <row r="354" spans="1:1" ht="12.75" x14ac:dyDescent="0.2">
      <c r="A354" s="1"/>
    </row>
    <row r="355" spans="1:1" ht="12.75" x14ac:dyDescent="0.2">
      <c r="A355" s="1"/>
    </row>
    <row r="356" spans="1:1" ht="12.75" x14ac:dyDescent="0.2">
      <c r="A356" s="1"/>
    </row>
    <row r="357" spans="1:1" ht="12.75" x14ac:dyDescent="0.2">
      <c r="A357" s="1"/>
    </row>
    <row r="358" spans="1:1" ht="12.75" x14ac:dyDescent="0.2">
      <c r="A358" s="1"/>
    </row>
    <row r="359" spans="1:1" ht="12.75" x14ac:dyDescent="0.2">
      <c r="A359" s="1"/>
    </row>
    <row r="360" spans="1:1" ht="12.75" x14ac:dyDescent="0.2">
      <c r="A360" s="1"/>
    </row>
    <row r="361" spans="1:1" ht="12.75" x14ac:dyDescent="0.2">
      <c r="A361" s="1"/>
    </row>
    <row r="362" spans="1:1" ht="12.75" x14ac:dyDescent="0.2">
      <c r="A362" s="1"/>
    </row>
    <row r="363" spans="1:1" ht="12.75" x14ac:dyDescent="0.2">
      <c r="A363" s="1"/>
    </row>
    <row r="364" spans="1:1" ht="12.75" x14ac:dyDescent="0.2">
      <c r="A364" s="1"/>
    </row>
    <row r="365" spans="1:1" ht="12.75" x14ac:dyDescent="0.2">
      <c r="A365" s="1"/>
    </row>
    <row r="366" spans="1:1" ht="12.75" x14ac:dyDescent="0.2">
      <c r="A366" s="1"/>
    </row>
    <row r="367" spans="1:1" ht="12.75" x14ac:dyDescent="0.2">
      <c r="A367" s="1"/>
    </row>
    <row r="368" spans="1:1" ht="12.75" x14ac:dyDescent="0.2">
      <c r="A368" s="1"/>
    </row>
    <row r="369" spans="1:1" ht="12.75" x14ac:dyDescent="0.2">
      <c r="A369" s="1"/>
    </row>
    <row r="370" spans="1:1" ht="12.75" x14ac:dyDescent="0.2">
      <c r="A370" s="1"/>
    </row>
    <row r="371" spans="1:1" ht="12.75" x14ac:dyDescent="0.2">
      <c r="A371" s="1"/>
    </row>
    <row r="372" spans="1:1" ht="12.75" x14ac:dyDescent="0.2">
      <c r="A372" s="1"/>
    </row>
    <row r="373" spans="1:1" ht="12.75" x14ac:dyDescent="0.2">
      <c r="A373" s="1"/>
    </row>
    <row r="374" spans="1:1" ht="12.75" x14ac:dyDescent="0.2">
      <c r="A374" s="1"/>
    </row>
    <row r="375" spans="1:1" ht="12.75" x14ac:dyDescent="0.2">
      <c r="A375" s="1"/>
    </row>
    <row r="376" spans="1:1" ht="12.75" x14ac:dyDescent="0.2">
      <c r="A376" s="1"/>
    </row>
    <row r="377" spans="1:1" ht="12.75" x14ac:dyDescent="0.2">
      <c r="A377" s="1"/>
    </row>
    <row r="378" spans="1:1" ht="12.75" x14ac:dyDescent="0.2">
      <c r="A378" s="1"/>
    </row>
    <row r="379" spans="1:1" ht="12.75" x14ac:dyDescent="0.2">
      <c r="A379" s="1"/>
    </row>
    <row r="380" spans="1:1" ht="12.75" x14ac:dyDescent="0.2">
      <c r="A380" s="1"/>
    </row>
    <row r="381" spans="1:1" ht="12.75" x14ac:dyDescent="0.2">
      <c r="A381" s="1"/>
    </row>
    <row r="382" spans="1:1" ht="12.75" x14ac:dyDescent="0.2">
      <c r="A382" s="1"/>
    </row>
    <row r="383" spans="1:1" ht="12.75" x14ac:dyDescent="0.2">
      <c r="A383" s="1"/>
    </row>
    <row r="384" spans="1:1" ht="12.75" x14ac:dyDescent="0.2">
      <c r="A384" s="1"/>
    </row>
    <row r="385" spans="1:1" ht="12.75" x14ac:dyDescent="0.2">
      <c r="A385" s="1"/>
    </row>
    <row r="386" spans="1:1" ht="12.75" x14ac:dyDescent="0.2">
      <c r="A386" s="1"/>
    </row>
    <row r="387" spans="1:1" ht="12.75" x14ac:dyDescent="0.2">
      <c r="A387" s="1"/>
    </row>
    <row r="388" spans="1:1" ht="12.75" x14ac:dyDescent="0.2">
      <c r="A388" s="1"/>
    </row>
    <row r="389" spans="1:1" ht="12.75" x14ac:dyDescent="0.2">
      <c r="A389" s="1"/>
    </row>
    <row r="390" spans="1:1" ht="12.75" x14ac:dyDescent="0.2">
      <c r="A390" s="1"/>
    </row>
    <row r="391" spans="1:1" ht="12.75" x14ac:dyDescent="0.2">
      <c r="A391" s="1"/>
    </row>
    <row r="392" spans="1:1" ht="12.75" x14ac:dyDescent="0.2">
      <c r="A392" s="1"/>
    </row>
    <row r="393" spans="1:1" ht="12.75" x14ac:dyDescent="0.2">
      <c r="A393" s="1"/>
    </row>
    <row r="394" spans="1:1" ht="12.75" x14ac:dyDescent="0.2">
      <c r="A394" s="1"/>
    </row>
    <row r="395" spans="1:1" ht="12.75" x14ac:dyDescent="0.2">
      <c r="A395" s="1"/>
    </row>
    <row r="396" spans="1:1" ht="12.75" x14ac:dyDescent="0.2">
      <c r="A396" s="1"/>
    </row>
    <row r="397" spans="1:1" ht="12.75" x14ac:dyDescent="0.2">
      <c r="A397" s="1"/>
    </row>
    <row r="398" spans="1:1" ht="12.75" x14ac:dyDescent="0.2">
      <c r="A398" s="1"/>
    </row>
    <row r="399" spans="1:1" ht="12.75" x14ac:dyDescent="0.2">
      <c r="A399" s="1"/>
    </row>
    <row r="400" spans="1:1" ht="12.75" x14ac:dyDescent="0.2">
      <c r="A400" s="1"/>
    </row>
    <row r="401" spans="1:1" ht="12.75" x14ac:dyDescent="0.2">
      <c r="A401" s="1"/>
    </row>
    <row r="402" spans="1:1" ht="12.75" x14ac:dyDescent="0.2">
      <c r="A402" s="1"/>
    </row>
    <row r="403" spans="1:1" ht="12.75" x14ac:dyDescent="0.2">
      <c r="A403" s="1"/>
    </row>
    <row r="404" spans="1:1" ht="12.75" x14ac:dyDescent="0.2">
      <c r="A404" s="1"/>
    </row>
    <row r="405" spans="1:1" ht="12.75" x14ac:dyDescent="0.2">
      <c r="A405" s="1"/>
    </row>
    <row r="406" spans="1:1" ht="12.75" x14ac:dyDescent="0.2">
      <c r="A406" s="1"/>
    </row>
    <row r="407" spans="1:1" ht="12.75" x14ac:dyDescent="0.2">
      <c r="A407" s="1"/>
    </row>
    <row r="408" spans="1:1" ht="12.75" x14ac:dyDescent="0.2">
      <c r="A408" s="1"/>
    </row>
    <row r="409" spans="1:1" ht="12.75" x14ac:dyDescent="0.2">
      <c r="A409" s="1"/>
    </row>
    <row r="410" spans="1:1" ht="12.75" x14ac:dyDescent="0.2">
      <c r="A410" s="1"/>
    </row>
    <row r="411" spans="1:1" ht="12.75" x14ac:dyDescent="0.2">
      <c r="A411" s="1"/>
    </row>
    <row r="412" spans="1:1" ht="12.75" x14ac:dyDescent="0.2">
      <c r="A412" s="1"/>
    </row>
    <row r="413" spans="1:1" ht="12.75" x14ac:dyDescent="0.2">
      <c r="A413" s="1"/>
    </row>
    <row r="414" spans="1:1" ht="12.75" x14ac:dyDescent="0.2">
      <c r="A414" s="1"/>
    </row>
    <row r="415" spans="1:1" ht="12.75" x14ac:dyDescent="0.2">
      <c r="A415" s="1"/>
    </row>
    <row r="416" spans="1:1" ht="12.75" x14ac:dyDescent="0.2">
      <c r="A416" s="1"/>
    </row>
    <row r="417" spans="1:1" ht="12.75" x14ac:dyDescent="0.2">
      <c r="A417" s="1"/>
    </row>
    <row r="418" spans="1:1" ht="12.75" x14ac:dyDescent="0.2">
      <c r="A418" s="1"/>
    </row>
    <row r="419" spans="1:1" ht="12.75" x14ac:dyDescent="0.2">
      <c r="A419" s="1"/>
    </row>
    <row r="420" spans="1:1" ht="12.75" x14ac:dyDescent="0.2">
      <c r="A420" s="1"/>
    </row>
    <row r="421" spans="1:1" ht="12.75" x14ac:dyDescent="0.2">
      <c r="A421" s="1"/>
    </row>
    <row r="422" spans="1:1" ht="12.75" x14ac:dyDescent="0.2">
      <c r="A422" s="1"/>
    </row>
    <row r="423" spans="1:1" ht="12.75" x14ac:dyDescent="0.2">
      <c r="A423" s="1"/>
    </row>
    <row r="424" spans="1:1" ht="12.75" x14ac:dyDescent="0.2">
      <c r="A424" s="1"/>
    </row>
    <row r="425" spans="1:1" ht="12.75" x14ac:dyDescent="0.2">
      <c r="A425" s="1"/>
    </row>
    <row r="426" spans="1:1" ht="12.75" x14ac:dyDescent="0.2">
      <c r="A426" s="1"/>
    </row>
    <row r="427" spans="1:1" ht="12.75" x14ac:dyDescent="0.2">
      <c r="A427" s="1"/>
    </row>
    <row r="428" spans="1:1" ht="12.75" x14ac:dyDescent="0.2">
      <c r="A428" s="1"/>
    </row>
    <row r="429" spans="1:1" ht="12.75" x14ac:dyDescent="0.2">
      <c r="A429" s="1"/>
    </row>
    <row r="430" spans="1:1" ht="12.75" x14ac:dyDescent="0.2">
      <c r="A430" s="1"/>
    </row>
    <row r="431" spans="1:1" ht="12.75" x14ac:dyDescent="0.2">
      <c r="A431" s="1"/>
    </row>
    <row r="432" spans="1:1" ht="12.75" x14ac:dyDescent="0.2">
      <c r="A432" s="1"/>
    </row>
    <row r="433" spans="1:1" ht="12.75" x14ac:dyDescent="0.2">
      <c r="A433" s="1"/>
    </row>
    <row r="434" spans="1:1" ht="12.75" x14ac:dyDescent="0.2">
      <c r="A434" s="1"/>
    </row>
    <row r="435" spans="1:1" ht="12.75" x14ac:dyDescent="0.2">
      <c r="A435" s="1"/>
    </row>
    <row r="436" spans="1:1" ht="12.75" x14ac:dyDescent="0.2">
      <c r="A436" s="1"/>
    </row>
    <row r="437" spans="1:1" ht="12.75" x14ac:dyDescent="0.2">
      <c r="A437" s="1"/>
    </row>
    <row r="438" spans="1:1" ht="12.75" x14ac:dyDescent="0.2">
      <c r="A438" s="1"/>
    </row>
    <row r="439" spans="1:1" ht="12.75" x14ac:dyDescent="0.2">
      <c r="A439" s="1"/>
    </row>
    <row r="440" spans="1:1" ht="12.75" x14ac:dyDescent="0.2">
      <c r="A440" s="1"/>
    </row>
    <row r="441" spans="1:1" ht="12.75" x14ac:dyDescent="0.2">
      <c r="A441" s="1"/>
    </row>
    <row r="442" spans="1:1" ht="12.75" x14ac:dyDescent="0.2">
      <c r="A442" s="1"/>
    </row>
    <row r="443" spans="1:1" ht="12.75" x14ac:dyDescent="0.2">
      <c r="A443" s="1"/>
    </row>
    <row r="444" spans="1:1" ht="12.75" x14ac:dyDescent="0.2">
      <c r="A444" s="1"/>
    </row>
    <row r="445" spans="1:1" ht="12.75" x14ac:dyDescent="0.2">
      <c r="A445" s="1"/>
    </row>
    <row r="446" spans="1:1" ht="12.75" x14ac:dyDescent="0.2">
      <c r="A446" s="1"/>
    </row>
    <row r="447" spans="1:1" ht="12.75" x14ac:dyDescent="0.2">
      <c r="A447" s="1"/>
    </row>
    <row r="448" spans="1:1" ht="12.75" x14ac:dyDescent="0.2">
      <c r="A448" s="1"/>
    </row>
    <row r="449" spans="1:1" ht="12.75" x14ac:dyDescent="0.2">
      <c r="A449" s="1"/>
    </row>
    <row r="450" spans="1:1" ht="12.75" x14ac:dyDescent="0.2">
      <c r="A450" s="1"/>
    </row>
    <row r="451" spans="1:1" ht="12.75" x14ac:dyDescent="0.2">
      <c r="A451" s="1"/>
    </row>
    <row r="452" spans="1:1" ht="12.75" x14ac:dyDescent="0.2">
      <c r="A452" s="1"/>
    </row>
    <row r="453" spans="1:1" ht="12.75" x14ac:dyDescent="0.2">
      <c r="A453" s="1"/>
    </row>
    <row r="454" spans="1:1" ht="12.75" x14ac:dyDescent="0.2">
      <c r="A454" s="1"/>
    </row>
    <row r="455" spans="1:1" ht="12.75" x14ac:dyDescent="0.2">
      <c r="A455" s="1"/>
    </row>
    <row r="456" spans="1:1" ht="12.75" x14ac:dyDescent="0.2">
      <c r="A456" s="1"/>
    </row>
    <row r="457" spans="1:1" ht="12.75" x14ac:dyDescent="0.2">
      <c r="A457" s="1"/>
    </row>
    <row r="458" spans="1:1" ht="12.75" x14ac:dyDescent="0.2">
      <c r="A458" s="1"/>
    </row>
    <row r="459" spans="1:1" ht="12.75" x14ac:dyDescent="0.2">
      <c r="A459" s="1"/>
    </row>
    <row r="460" spans="1:1" ht="12.75" x14ac:dyDescent="0.2">
      <c r="A460" s="1"/>
    </row>
    <row r="461" spans="1:1" ht="12.75" x14ac:dyDescent="0.2">
      <c r="A461" s="1"/>
    </row>
    <row r="462" spans="1:1" ht="12.75" x14ac:dyDescent="0.2">
      <c r="A462" s="1"/>
    </row>
    <row r="463" spans="1:1" ht="12.75" x14ac:dyDescent="0.2">
      <c r="A463" s="1"/>
    </row>
    <row r="464" spans="1:1" ht="12.75" x14ac:dyDescent="0.2">
      <c r="A464" s="1"/>
    </row>
    <row r="465" spans="1:1" ht="12.75" x14ac:dyDescent="0.2">
      <c r="A465" s="1"/>
    </row>
    <row r="466" spans="1:1" ht="12.75" x14ac:dyDescent="0.2">
      <c r="A466" s="1"/>
    </row>
    <row r="467" spans="1:1" ht="12.75" x14ac:dyDescent="0.2">
      <c r="A467" s="1"/>
    </row>
    <row r="468" spans="1:1" ht="12.75" x14ac:dyDescent="0.2">
      <c r="A468" s="1"/>
    </row>
    <row r="469" spans="1:1" ht="12.75" x14ac:dyDescent="0.2">
      <c r="A469" s="1"/>
    </row>
    <row r="470" spans="1:1" ht="12.75" x14ac:dyDescent="0.2">
      <c r="A470" s="1"/>
    </row>
    <row r="471" spans="1:1" ht="12.75" x14ac:dyDescent="0.2">
      <c r="A471" s="1"/>
    </row>
    <row r="472" spans="1:1" ht="12.75" x14ac:dyDescent="0.2">
      <c r="A472" s="1"/>
    </row>
    <row r="473" spans="1:1" ht="12.75" x14ac:dyDescent="0.2">
      <c r="A473" s="1"/>
    </row>
    <row r="474" spans="1:1" ht="12.75" x14ac:dyDescent="0.2">
      <c r="A474" s="1"/>
    </row>
    <row r="475" spans="1:1" ht="12.75" x14ac:dyDescent="0.2">
      <c r="A475" s="1"/>
    </row>
    <row r="476" spans="1:1" ht="12.75" x14ac:dyDescent="0.2">
      <c r="A476" s="1"/>
    </row>
    <row r="477" spans="1:1" ht="12.75" x14ac:dyDescent="0.2">
      <c r="A477" s="1"/>
    </row>
    <row r="478" spans="1:1" ht="12.75" x14ac:dyDescent="0.2">
      <c r="A478" s="1"/>
    </row>
    <row r="479" spans="1:1" ht="12.75" x14ac:dyDescent="0.2">
      <c r="A479" s="1"/>
    </row>
    <row r="480" spans="1:1" ht="12.75" x14ac:dyDescent="0.2">
      <c r="A480" s="1"/>
    </row>
    <row r="481" spans="1:1" ht="12.75" x14ac:dyDescent="0.2">
      <c r="A481" s="1"/>
    </row>
    <row r="482" spans="1:1" ht="12.75" x14ac:dyDescent="0.2">
      <c r="A482" s="1"/>
    </row>
    <row r="483" spans="1:1" ht="12.75" x14ac:dyDescent="0.2">
      <c r="A483" s="1"/>
    </row>
    <row r="484" spans="1:1" ht="12.75" x14ac:dyDescent="0.2">
      <c r="A484" s="1"/>
    </row>
    <row r="485" spans="1:1" ht="12.75" x14ac:dyDescent="0.2">
      <c r="A485" s="1"/>
    </row>
    <row r="486" spans="1:1" ht="12.75" x14ac:dyDescent="0.2">
      <c r="A486" s="1"/>
    </row>
    <row r="487" spans="1:1" ht="12.75" x14ac:dyDescent="0.2">
      <c r="A487" s="1"/>
    </row>
    <row r="488" spans="1:1" ht="12.75" x14ac:dyDescent="0.2">
      <c r="A488" s="1"/>
    </row>
    <row r="489" spans="1:1" ht="12.75" x14ac:dyDescent="0.2">
      <c r="A489" s="1"/>
    </row>
    <row r="490" spans="1:1" ht="12.75" x14ac:dyDescent="0.2">
      <c r="A490" s="1"/>
    </row>
    <row r="491" spans="1:1" ht="12.75" x14ac:dyDescent="0.2">
      <c r="A491" s="1"/>
    </row>
    <row r="492" spans="1:1" ht="12.75" x14ac:dyDescent="0.2">
      <c r="A492" s="1"/>
    </row>
    <row r="493" spans="1:1" ht="12.75" x14ac:dyDescent="0.2">
      <c r="A493" s="1"/>
    </row>
    <row r="494" spans="1:1" ht="12.75" x14ac:dyDescent="0.2">
      <c r="A494" s="1"/>
    </row>
    <row r="495" spans="1:1" ht="12.75" x14ac:dyDescent="0.2">
      <c r="A495" s="1"/>
    </row>
    <row r="496" spans="1:1" ht="12.75" x14ac:dyDescent="0.2">
      <c r="A496" s="1"/>
    </row>
    <row r="497" spans="1:1" ht="12.75" x14ac:dyDescent="0.2">
      <c r="A497" s="1"/>
    </row>
    <row r="498" spans="1:1" ht="12.75" x14ac:dyDescent="0.2">
      <c r="A498" s="1"/>
    </row>
    <row r="499" spans="1:1" ht="12.75" x14ac:dyDescent="0.2">
      <c r="A499" s="1"/>
    </row>
    <row r="500" spans="1:1" ht="12.75" x14ac:dyDescent="0.2">
      <c r="A500" s="1"/>
    </row>
    <row r="501" spans="1:1" ht="12.75" x14ac:dyDescent="0.2">
      <c r="A501" s="1"/>
    </row>
    <row r="502" spans="1:1" ht="12.75" x14ac:dyDescent="0.2">
      <c r="A502" s="1"/>
    </row>
    <row r="503" spans="1:1" ht="12.75" x14ac:dyDescent="0.2">
      <c r="A503" s="1"/>
    </row>
    <row r="504" spans="1:1" ht="12.75" x14ac:dyDescent="0.2">
      <c r="A504" s="1"/>
    </row>
    <row r="505" spans="1:1" ht="12.75" x14ac:dyDescent="0.2">
      <c r="A505" s="1"/>
    </row>
    <row r="506" spans="1:1" ht="12.75" x14ac:dyDescent="0.2">
      <c r="A506" s="1"/>
    </row>
    <row r="507" spans="1:1" ht="12.75" x14ac:dyDescent="0.2">
      <c r="A507" s="1"/>
    </row>
    <row r="508" spans="1:1" ht="12.75" x14ac:dyDescent="0.2">
      <c r="A508" s="1"/>
    </row>
    <row r="509" spans="1:1" ht="12.75" x14ac:dyDescent="0.2">
      <c r="A509" s="1"/>
    </row>
    <row r="510" spans="1:1" ht="12.75" x14ac:dyDescent="0.2">
      <c r="A510" s="1"/>
    </row>
    <row r="511" spans="1:1" ht="12.75" x14ac:dyDescent="0.2">
      <c r="A511" s="1"/>
    </row>
    <row r="512" spans="1:1" ht="12.75" x14ac:dyDescent="0.2">
      <c r="A512" s="1"/>
    </row>
    <row r="513" spans="1:1" ht="12.75" x14ac:dyDescent="0.2">
      <c r="A513" s="1"/>
    </row>
    <row r="514" spans="1:1" ht="12.75" x14ac:dyDescent="0.2">
      <c r="A514" s="1"/>
    </row>
    <row r="515" spans="1:1" ht="12.75" x14ac:dyDescent="0.2">
      <c r="A515" s="1"/>
    </row>
    <row r="516" spans="1:1" ht="12.75" x14ac:dyDescent="0.2">
      <c r="A516" s="1"/>
    </row>
    <row r="517" spans="1:1" ht="12.75" x14ac:dyDescent="0.2">
      <c r="A517" s="1"/>
    </row>
    <row r="518" spans="1:1" ht="12.75" x14ac:dyDescent="0.2">
      <c r="A518" s="1"/>
    </row>
    <row r="519" spans="1:1" ht="12.75" x14ac:dyDescent="0.2">
      <c r="A519" s="1"/>
    </row>
    <row r="520" spans="1:1" ht="12.75" x14ac:dyDescent="0.2">
      <c r="A520" s="1"/>
    </row>
    <row r="521" spans="1:1" ht="12.75" x14ac:dyDescent="0.2">
      <c r="A521" s="1"/>
    </row>
    <row r="522" spans="1:1" ht="12.75" x14ac:dyDescent="0.2">
      <c r="A522" s="1"/>
    </row>
    <row r="523" spans="1:1" ht="12.75" x14ac:dyDescent="0.2">
      <c r="A523" s="1"/>
    </row>
    <row r="524" spans="1:1" ht="12.75" x14ac:dyDescent="0.2">
      <c r="A524" s="1"/>
    </row>
    <row r="525" spans="1:1" ht="12.75" x14ac:dyDescent="0.2">
      <c r="A525" s="1"/>
    </row>
    <row r="526" spans="1:1" ht="12.75" x14ac:dyDescent="0.2">
      <c r="A526" s="1"/>
    </row>
    <row r="527" spans="1:1" ht="12.75" x14ac:dyDescent="0.2">
      <c r="A527" s="1"/>
    </row>
    <row r="528" spans="1:1" ht="12.75" x14ac:dyDescent="0.2">
      <c r="A528" s="1"/>
    </row>
    <row r="529" spans="1:1" ht="12.75" x14ac:dyDescent="0.2">
      <c r="A529" s="1"/>
    </row>
    <row r="530" spans="1:1" ht="12.75" x14ac:dyDescent="0.2">
      <c r="A530" s="1"/>
    </row>
    <row r="531" spans="1:1" ht="12.75" x14ac:dyDescent="0.2">
      <c r="A531" s="1"/>
    </row>
    <row r="532" spans="1:1" ht="12.75" x14ac:dyDescent="0.2">
      <c r="A532" s="1"/>
    </row>
    <row r="533" spans="1:1" ht="12.75" x14ac:dyDescent="0.2">
      <c r="A533" s="1"/>
    </row>
    <row r="534" spans="1:1" ht="12.75" x14ac:dyDescent="0.2">
      <c r="A534" s="1"/>
    </row>
    <row r="535" spans="1:1" ht="12.75" x14ac:dyDescent="0.2">
      <c r="A535" s="1"/>
    </row>
    <row r="536" spans="1:1" ht="12.75" x14ac:dyDescent="0.2">
      <c r="A536" s="1"/>
    </row>
    <row r="537" spans="1:1" ht="12.75" x14ac:dyDescent="0.2">
      <c r="A537" s="1"/>
    </row>
    <row r="538" spans="1:1" ht="12.75" x14ac:dyDescent="0.2">
      <c r="A538" s="1"/>
    </row>
    <row r="539" spans="1:1" ht="12.75" x14ac:dyDescent="0.2">
      <c r="A539" s="1"/>
    </row>
    <row r="540" spans="1:1" ht="12.75" x14ac:dyDescent="0.2">
      <c r="A540" s="1"/>
    </row>
    <row r="541" spans="1:1" ht="12.75" x14ac:dyDescent="0.2">
      <c r="A541" s="1"/>
    </row>
    <row r="542" spans="1:1" ht="12.75" x14ac:dyDescent="0.2">
      <c r="A542" s="1"/>
    </row>
    <row r="543" spans="1:1" ht="12.75" x14ac:dyDescent="0.2">
      <c r="A543" s="1"/>
    </row>
    <row r="544" spans="1:1" ht="12.75" x14ac:dyDescent="0.2">
      <c r="A544" s="1"/>
    </row>
    <row r="545" spans="1:1" ht="12.75" x14ac:dyDescent="0.2">
      <c r="A545" s="1"/>
    </row>
    <row r="546" spans="1:1" ht="12.75" x14ac:dyDescent="0.2">
      <c r="A546" s="1"/>
    </row>
    <row r="547" spans="1:1" ht="12.75" x14ac:dyDescent="0.2">
      <c r="A547" s="1"/>
    </row>
    <row r="548" spans="1:1" ht="12.75" x14ac:dyDescent="0.2">
      <c r="A548" s="1"/>
    </row>
    <row r="549" spans="1:1" ht="12.75" x14ac:dyDescent="0.2">
      <c r="A549" s="1"/>
    </row>
    <row r="550" spans="1:1" ht="12.75" x14ac:dyDescent="0.2">
      <c r="A550" s="1"/>
    </row>
    <row r="551" spans="1:1" ht="12.75" x14ac:dyDescent="0.2">
      <c r="A551" s="1"/>
    </row>
    <row r="552" spans="1:1" ht="12.75" x14ac:dyDescent="0.2">
      <c r="A552" s="1"/>
    </row>
    <row r="553" spans="1:1" ht="12.75" x14ac:dyDescent="0.2">
      <c r="A553" s="1"/>
    </row>
    <row r="554" spans="1:1" ht="12.75" x14ac:dyDescent="0.2">
      <c r="A554" s="1"/>
    </row>
    <row r="555" spans="1:1" ht="12.75" x14ac:dyDescent="0.2">
      <c r="A555" s="1"/>
    </row>
    <row r="556" spans="1:1" ht="12.75" x14ac:dyDescent="0.2">
      <c r="A556" s="1"/>
    </row>
    <row r="557" spans="1:1" ht="12.75" x14ac:dyDescent="0.2">
      <c r="A557" s="1"/>
    </row>
    <row r="558" spans="1:1" ht="12.75" x14ac:dyDescent="0.2">
      <c r="A558" s="1"/>
    </row>
    <row r="559" spans="1:1" ht="12.75" x14ac:dyDescent="0.2">
      <c r="A559" s="1"/>
    </row>
    <row r="560" spans="1:1" ht="12.75" x14ac:dyDescent="0.2">
      <c r="A560" s="1"/>
    </row>
    <row r="561" spans="1:1" ht="12.75" x14ac:dyDescent="0.2">
      <c r="A561" s="1"/>
    </row>
    <row r="562" spans="1:1" ht="12.75" x14ac:dyDescent="0.2">
      <c r="A562" s="1"/>
    </row>
    <row r="563" spans="1:1" ht="12.75" x14ac:dyDescent="0.2">
      <c r="A563" s="1"/>
    </row>
    <row r="564" spans="1:1" ht="12.75" x14ac:dyDescent="0.2">
      <c r="A564" s="1"/>
    </row>
    <row r="565" spans="1:1" ht="12.75" x14ac:dyDescent="0.2">
      <c r="A565" s="1"/>
    </row>
    <row r="566" spans="1:1" ht="12.75" x14ac:dyDescent="0.2">
      <c r="A566" s="1"/>
    </row>
    <row r="567" spans="1:1" ht="12.75" x14ac:dyDescent="0.2">
      <c r="A567" s="1"/>
    </row>
    <row r="568" spans="1:1" ht="12.75" x14ac:dyDescent="0.2">
      <c r="A568" s="1"/>
    </row>
    <row r="569" spans="1:1" ht="12.75" x14ac:dyDescent="0.2">
      <c r="A569" s="1"/>
    </row>
    <row r="570" spans="1:1" ht="12.75" x14ac:dyDescent="0.2">
      <c r="A570" s="1"/>
    </row>
    <row r="571" spans="1:1" ht="12.75" x14ac:dyDescent="0.2">
      <c r="A571" s="1"/>
    </row>
    <row r="572" spans="1:1" ht="12.75" x14ac:dyDescent="0.2">
      <c r="A572" s="1"/>
    </row>
    <row r="573" spans="1:1" ht="12.75" x14ac:dyDescent="0.2">
      <c r="A573" s="1"/>
    </row>
    <row r="574" spans="1:1" ht="12.75" x14ac:dyDescent="0.2">
      <c r="A574" s="1"/>
    </row>
    <row r="575" spans="1:1" ht="12.75" x14ac:dyDescent="0.2">
      <c r="A575" s="1"/>
    </row>
    <row r="576" spans="1:1" ht="12.75" x14ac:dyDescent="0.2">
      <c r="A576" s="1"/>
    </row>
    <row r="577" spans="1:1" ht="12.75" x14ac:dyDescent="0.2">
      <c r="A577" s="1"/>
    </row>
    <row r="578" spans="1:1" ht="12.75" x14ac:dyDescent="0.2">
      <c r="A578" s="1"/>
    </row>
    <row r="579" spans="1:1" ht="12.75" x14ac:dyDescent="0.2">
      <c r="A579" s="1"/>
    </row>
    <row r="580" spans="1:1" ht="12.75" x14ac:dyDescent="0.2">
      <c r="A580" s="1"/>
    </row>
    <row r="581" spans="1:1" ht="12.75" x14ac:dyDescent="0.2">
      <c r="A581" s="1"/>
    </row>
    <row r="582" spans="1:1" ht="12.75" x14ac:dyDescent="0.2">
      <c r="A582" s="1"/>
    </row>
    <row r="583" spans="1:1" ht="12.75" x14ac:dyDescent="0.2">
      <c r="A583" s="1"/>
    </row>
    <row r="584" spans="1:1" ht="12.75" x14ac:dyDescent="0.2">
      <c r="A584" s="1"/>
    </row>
    <row r="585" spans="1:1" ht="12.75" x14ac:dyDescent="0.2">
      <c r="A585" s="1"/>
    </row>
    <row r="586" spans="1:1" ht="12.75" x14ac:dyDescent="0.2">
      <c r="A586" s="1"/>
    </row>
    <row r="587" spans="1:1" ht="12.75" x14ac:dyDescent="0.2">
      <c r="A587" s="1"/>
    </row>
    <row r="588" spans="1:1" ht="12.75" x14ac:dyDescent="0.2">
      <c r="A588" s="1"/>
    </row>
    <row r="589" spans="1:1" ht="12.75" x14ac:dyDescent="0.2">
      <c r="A589" s="1"/>
    </row>
    <row r="590" spans="1:1" ht="12.75" x14ac:dyDescent="0.2">
      <c r="A590" s="1"/>
    </row>
    <row r="591" spans="1:1" ht="12.75" x14ac:dyDescent="0.2">
      <c r="A591" s="1"/>
    </row>
    <row r="592" spans="1:1" ht="12.75" x14ac:dyDescent="0.2">
      <c r="A592" s="1"/>
    </row>
    <row r="593" spans="1:1" ht="12.75" x14ac:dyDescent="0.2">
      <c r="A593" s="1"/>
    </row>
    <row r="594" spans="1:1" ht="12.75" x14ac:dyDescent="0.2">
      <c r="A594" s="1"/>
    </row>
    <row r="595" spans="1:1" ht="12.75" x14ac:dyDescent="0.2">
      <c r="A595" s="1"/>
    </row>
    <row r="596" spans="1:1" ht="12.75" x14ac:dyDescent="0.2">
      <c r="A596" s="1"/>
    </row>
    <row r="597" spans="1:1" ht="12.75" x14ac:dyDescent="0.2">
      <c r="A597" s="1"/>
    </row>
    <row r="598" spans="1:1" ht="12.75" x14ac:dyDescent="0.2">
      <c r="A598" s="1"/>
    </row>
    <row r="599" spans="1:1" ht="12.75" x14ac:dyDescent="0.2">
      <c r="A599" s="1"/>
    </row>
    <row r="600" spans="1:1" ht="12.75" x14ac:dyDescent="0.2">
      <c r="A600" s="1"/>
    </row>
    <row r="601" spans="1:1" ht="12.75" x14ac:dyDescent="0.2">
      <c r="A601" s="1"/>
    </row>
    <row r="602" spans="1:1" ht="12.75" x14ac:dyDescent="0.2">
      <c r="A602" s="1"/>
    </row>
    <row r="603" spans="1:1" ht="12.75" x14ac:dyDescent="0.2">
      <c r="A603" s="1"/>
    </row>
    <row r="604" spans="1:1" ht="12.75" x14ac:dyDescent="0.2">
      <c r="A604" s="1"/>
    </row>
    <row r="605" spans="1:1" ht="12.75" x14ac:dyDescent="0.2">
      <c r="A605" s="1"/>
    </row>
    <row r="606" spans="1:1" ht="12.75" x14ac:dyDescent="0.2">
      <c r="A606" s="1"/>
    </row>
    <row r="607" spans="1:1" ht="12.75" x14ac:dyDescent="0.2">
      <c r="A607" s="1"/>
    </row>
    <row r="608" spans="1:1" ht="12.75" x14ac:dyDescent="0.2">
      <c r="A608" s="1"/>
    </row>
    <row r="609" spans="1:1" ht="12.75" x14ac:dyDescent="0.2">
      <c r="A609" s="1"/>
    </row>
    <row r="610" spans="1:1" ht="12.75" x14ac:dyDescent="0.2">
      <c r="A610" s="1"/>
    </row>
    <row r="611" spans="1:1" ht="12.75" x14ac:dyDescent="0.2">
      <c r="A611" s="1"/>
    </row>
    <row r="612" spans="1:1" ht="12.75" x14ac:dyDescent="0.2">
      <c r="A612" s="1"/>
    </row>
    <row r="613" spans="1:1" ht="12.75" x14ac:dyDescent="0.2">
      <c r="A613" s="1"/>
    </row>
    <row r="614" spans="1:1" ht="12.75" x14ac:dyDescent="0.2">
      <c r="A614" s="1"/>
    </row>
    <row r="615" spans="1:1" ht="12.75" x14ac:dyDescent="0.2">
      <c r="A615" s="1"/>
    </row>
    <row r="616" spans="1:1" ht="12.75" x14ac:dyDescent="0.2">
      <c r="A616" s="1"/>
    </row>
    <row r="617" spans="1:1" ht="12.75" x14ac:dyDescent="0.2">
      <c r="A617" s="1"/>
    </row>
    <row r="618" spans="1:1" ht="12.75" x14ac:dyDescent="0.2">
      <c r="A618" s="1"/>
    </row>
    <row r="619" spans="1:1" ht="12.75" x14ac:dyDescent="0.2">
      <c r="A619" s="1"/>
    </row>
    <row r="620" spans="1:1" ht="12.75" x14ac:dyDescent="0.2">
      <c r="A620" s="1"/>
    </row>
    <row r="621" spans="1:1" ht="12.75" x14ac:dyDescent="0.2">
      <c r="A621" s="1"/>
    </row>
    <row r="622" spans="1:1" ht="12.75" x14ac:dyDescent="0.2">
      <c r="A622" s="1"/>
    </row>
    <row r="623" spans="1:1" ht="12.75" x14ac:dyDescent="0.2">
      <c r="A623" s="1"/>
    </row>
    <row r="624" spans="1:1" ht="12.75" x14ac:dyDescent="0.2">
      <c r="A624" s="1"/>
    </row>
    <row r="625" spans="1:1" ht="12.75" x14ac:dyDescent="0.2">
      <c r="A625" s="1"/>
    </row>
    <row r="626" spans="1:1" ht="12.75" x14ac:dyDescent="0.2">
      <c r="A626" s="1"/>
    </row>
    <row r="627" spans="1:1" ht="12.75" x14ac:dyDescent="0.2">
      <c r="A627" s="1"/>
    </row>
    <row r="628" spans="1:1" ht="12.75" x14ac:dyDescent="0.2">
      <c r="A628" s="1"/>
    </row>
    <row r="629" spans="1:1" ht="12.75" x14ac:dyDescent="0.2">
      <c r="A629" s="1"/>
    </row>
    <row r="630" spans="1:1" ht="12.75" x14ac:dyDescent="0.2">
      <c r="A630" s="1"/>
    </row>
    <row r="631" spans="1:1" ht="12.75" x14ac:dyDescent="0.2">
      <c r="A631" s="1"/>
    </row>
    <row r="632" spans="1:1" ht="12.75" x14ac:dyDescent="0.2">
      <c r="A632" s="1"/>
    </row>
    <row r="633" spans="1:1" ht="12.75" x14ac:dyDescent="0.2">
      <c r="A633" s="1"/>
    </row>
    <row r="634" spans="1:1" ht="12.75" x14ac:dyDescent="0.2">
      <c r="A634" s="1"/>
    </row>
    <row r="635" spans="1:1" ht="12.75" x14ac:dyDescent="0.2">
      <c r="A635" s="1"/>
    </row>
    <row r="636" spans="1:1" ht="12.75" x14ac:dyDescent="0.2">
      <c r="A636" s="1"/>
    </row>
    <row r="637" spans="1:1" ht="12.75" x14ac:dyDescent="0.2">
      <c r="A637" s="1"/>
    </row>
    <row r="638" spans="1:1" ht="12.75" x14ac:dyDescent="0.2">
      <c r="A638" s="1"/>
    </row>
    <row r="639" spans="1:1" ht="12.75" x14ac:dyDescent="0.2">
      <c r="A639" s="1"/>
    </row>
    <row r="640" spans="1:1" ht="12.75" x14ac:dyDescent="0.2">
      <c r="A640" s="1"/>
    </row>
    <row r="641" spans="1:1" ht="12.75" x14ac:dyDescent="0.2">
      <c r="A641" s="1"/>
    </row>
    <row r="642" spans="1:1" ht="12.75" x14ac:dyDescent="0.2">
      <c r="A642" s="1"/>
    </row>
    <row r="643" spans="1:1" ht="12.75" x14ac:dyDescent="0.2">
      <c r="A643" s="1"/>
    </row>
    <row r="644" spans="1:1" ht="12.75" x14ac:dyDescent="0.2">
      <c r="A644" s="1"/>
    </row>
    <row r="645" spans="1:1" ht="12.75" x14ac:dyDescent="0.2">
      <c r="A645" s="1"/>
    </row>
    <row r="646" spans="1:1" ht="12.75" x14ac:dyDescent="0.2">
      <c r="A646" s="1"/>
    </row>
    <row r="647" spans="1:1" ht="12.75" x14ac:dyDescent="0.2">
      <c r="A647" s="1"/>
    </row>
    <row r="648" spans="1:1" ht="12.75" x14ac:dyDescent="0.2">
      <c r="A648" s="1"/>
    </row>
    <row r="649" spans="1:1" ht="12.75" x14ac:dyDescent="0.2">
      <c r="A649" s="1"/>
    </row>
    <row r="650" spans="1:1" ht="12.75" x14ac:dyDescent="0.2">
      <c r="A650" s="1"/>
    </row>
    <row r="651" spans="1:1" ht="12.75" x14ac:dyDescent="0.2">
      <c r="A651" s="1"/>
    </row>
    <row r="652" spans="1:1" ht="12.75" x14ac:dyDescent="0.2">
      <c r="A652" s="1"/>
    </row>
    <row r="653" spans="1:1" ht="12.75" x14ac:dyDescent="0.2">
      <c r="A653" s="1"/>
    </row>
    <row r="654" spans="1:1" ht="12.75" x14ac:dyDescent="0.2">
      <c r="A654" s="1"/>
    </row>
    <row r="655" spans="1:1" ht="12.75" x14ac:dyDescent="0.2">
      <c r="A655" s="1"/>
    </row>
    <row r="656" spans="1:1" ht="12.75" x14ac:dyDescent="0.2">
      <c r="A656" s="1"/>
    </row>
    <row r="657" spans="1:1" ht="12.75" x14ac:dyDescent="0.2">
      <c r="A657" s="1"/>
    </row>
    <row r="658" spans="1:1" ht="12.75" x14ac:dyDescent="0.2">
      <c r="A658" s="1"/>
    </row>
    <row r="659" spans="1:1" ht="12.75" x14ac:dyDescent="0.2">
      <c r="A659" s="1"/>
    </row>
    <row r="660" spans="1:1" ht="12.75" x14ac:dyDescent="0.2">
      <c r="A660" s="1"/>
    </row>
    <row r="661" spans="1:1" ht="12.75" x14ac:dyDescent="0.2">
      <c r="A661" s="1"/>
    </row>
    <row r="662" spans="1:1" ht="12.75" x14ac:dyDescent="0.2">
      <c r="A662" s="1"/>
    </row>
    <row r="663" spans="1:1" ht="12.75" x14ac:dyDescent="0.2">
      <c r="A663" s="1"/>
    </row>
    <row r="664" spans="1:1" ht="12.75" x14ac:dyDescent="0.2">
      <c r="A664" s="1"/>
    </row>
    <row r="665" spans="1:1" ht="12.75" x14ac:dyDescent="0.2">
      <c r="A665" s="1"/>
    </row>
    <row r="666" spans="1:1" ht="12.75" x14ac:dyDescent="0.2">
      <c r="A666" s="1"/>
    </row>
    <row r="667" spans="1:1" ht="12.75" x14ac:dyDescent="0.2">
      <c r="A667" s="1"/>
    </row>
    <row r="668" spans="1:1" ht="12.75" x14ac:dyDescent="0.2">
      <c r="A668" s="1"/>
    </row>
    <row r="669" spans="1:1" ht="12.75" x14ac:dyDescent="0.2">
      <c r="A669" s="1"/>
    </row>
    <row r="670" spans="1:1" ht="12.75" x14ac:dyDescent="0.2">
      <c r="A670" s="1"/>
    </row>
    <row r="671" spans="1:1" ht="12.75" x14ac:dyDescent="0.2">
      <c r="A671" s="1"/>
    </row>
    <row r="672" spans="1:1" ht="12.75" x14ac:dyDescent="0.2">
      <c r="A672" s="1"/>
    </row>
    <row r="673" spans="1:1" ht="12.75" x14ac:dyDescent="0.2">
      <c r="A673" s="1"/>
    </row>
    <row r="674" spans="1:1" ht="12.75" x14ac:dyDescent="0.2">
      <c r="A674" s="1"/>
    </row>
    <row r="675" spans="1:1" ht="12.75" x14ac:dyDescent="0.2">
      <c r="A675" s="1"/>
    </row>
    <row r="676" spans="1:1" ht="12.75" x14ac:dyDescent="0.2">
      <c r="A676" s="1"/>
    </row>
    <row r="677" spans="1:1" ht="12.75" x14ac:dyDescent="0.2">
      <c r="A677" s="1"/>
    </row>
    <row r="678" spans="1:1" ht="12.75" x14ac:dyDescent="0.2">
      <c r="A678" s="1"/>
    </row>
    <row r="679" spans="1:1" ht="12.75" x14ac:dyDescent="0.2">
      <c r="A679" s="1"/>
    </row>
    <row r="680" spans="1:1" ht="12.75" x14ac:dyDescent="0.2">
      <c r="A680" s="1"/>
    </row>
    <row r="681" spans="1:1" ht="12.75" x14ac:dyDescent="0.2">
      <c r="A681" s="1"/>
    </row>
    <row r="682" spans="1:1" ht="12.75" x14ac:dyDescent="0.2">
      <c r="A682" s="1"/>
    </row>
    <row r="683" spans="1:1" ht="12.75" x14ac:dyDescent="0.2">
      <c r="A683" s="1"/>
    </row>
    <row r="684" spans="1:1" ht="12.75" x14ac:dyDescent="0.2">
      <c r="A684" s="1"/>
    </row>
    <row r="685" spans="1:1" ht="12.75" x14ac:dyDescent="0.2">
      <c r="A685" s="1"/>
    </row>
    <row r="686" spans="1:1" ht="12.75" x14ac:dyDescent="0.2">
      <c r="A686" s="1"/>
    </row>
    <row r="687" spans="1:1" ht="12.75" x14ac:dyDescent="0.2">
      <c r="A687" s="1"/>
    </row>
    <row r="688" spans="1:1" ht="12.75" x14ac:dyDescent="0.2">
      <c r="A688" s="1"/>
    </row>
    <row r="689" spans="1:1" ht="12.75" x14ac:dyDescent="0.2">
      <c r="A689" s="1"/>
    </row>
    <row r="690" spans="1:1" ht="12.75" x14ac:dyDescent="0.2">
      <c r="A690" s="1"/>
    </row>
    <row r="691" spans="1:1" ht="12.75" x14ac:dyDescent="0.2">
      <c r="A691" s="1"/>
    </row>
    <row r="692" spans="1:1" ht="12.75" x14ac:dyDescent="0.2">
      <c r="A692" s="1"/>
    </row>
    <row r="693" spans="1:1" ht="12.75" x14ac:dyDescent="0.2">
      <c r="A693" s="1"/>
    </row>
    <row r="694" spans="1:1" ht="12.75" x14ac:dyDescent="0.2">
      <c r="A694" s="1"/>
    </row>
    <row r="695" spans="1:1" ht="12.75" x14ac:dyDescent="0.2">
      <c r="A695" s="1"/>
    </row>
    <row r="696" spans="1:1" ht="12.75" x14ac:dyDescent="0.2">
      <c r="A696" s="1"/>
    </row>
    <row r="697" spans="1:1" ht="12.75" x14ac:dyDescent="0.2">
      <c r="A697" s="1"/>
    </row>
    <row r="698" spans="1:1" ht="12.75" x14ac:dyDescent="0.2">
      <c r="A698" s="1"/>
    </row>
    <row r="699" spans="1:1" ht="12.75" x14ac:dyDescent="0.2">
      <c r="A699" s="1"/>
    </row>
    <row r="700" spans="1:1" ht="12.75" x14ac:dyDescent="0.2">
      <c r="A700" s="1"/>
    </row>
    <row r="701" spans="1:1" ht="12.75" x14ac:dyDescent="0.2">
      <c r="A701" s="1"/>
    </row>
    <row r="702" spans="1:1" ht="12.75" x14ac:dyDescent="0.2">
      <c r="A702" s="1"/>
    </row>
    <row r="703" spans="1:1" ht="12.75" x14ac:dyDescent="0.2">
      <c r="A703" s="1"/>
    </row>
    <row r="704" spans="1:1" ht="12.75" x14ac:dyDescent="0.2">
      <c r="A704" s="1"/>
    </row>
    <row r="705" spans="1:1" ht="12.75" x14ac:dyDescent="0.2">
      <c r="A705" s="1"/>
    </row>
    <row r="706" spans="1:1" ht="12.75" x14ac:dyDescent="0.2">
      <c r="A706" s="1"/>
    </row>
    <row r="707" spans="1:1" ht="12.75" x14ac:dyDescent="0.2">
      <c r="A707" s="1"/>
    </row>
    <row r="708" spans="1:1" ht="12.75" x14ac:dyDescent="0.2">
      <c r="A708" s="1"/>
    </row>
    <row r="709" spans="1:1" ht="12.75" x14ac:dyDescent="0.2">
      <c r="A709" s="1"/>
    </row>
    <row r="710" spans="1:1" ht="12.75" x14ac:dyDescent="0.2">
      <c r="A710" s="1"/>
    </row>
    <row r="711" spans="1:1" ht="12.75" x14ac:dyDescent="0.2">
      <c r="A711" s="1"/>
    </row>
    <row r="712" spans="1:1" ht="12.75" x14ac:dyDescent="0.2">
      <c r="A712" s="1"/>
    </row>
    <row r="713" spans="1:1" ht="12.75" x14ac:dyDescent="0.2">
      <c r="A713" s="1"/>
    </row>
    <row r="714" spans="1:1" ht="12.75" x14ac:dyDescent="0.2">
      <c r="A714" s="1"/>
    </row>
    <row r="715" spans="1:1" ht="12.75" x14ac:dyDescent="0.2">
      <c r="A715" s="1"/>
    </row>
    <row r="716" spans="1:1" ht="12.75" x14ac:dyDescent="0.2">
      <c r="A716" s="1"/>
    </row>
    <row r="717" spans="1:1" ht="12.75" x14ac:dyDescent="0.2">
      <c r="A717" s="1"/>
    </row>
    <row r="718" spans="1:1" ht="12.75" x14ac:dyDescent="0.2">
      <c r="A718" s="1"/>
    </row>
    <row r="719" spans="1:1" ht="12.75" x14ac:dyDescent="0.2">
      <c r="A719" s="1"/>
    </row>
    <row r="720" spans="1:1" ht="12.75" x14ac:dyDescent="0.2">
      <c r="A720" s="1"/>
    </row>
    <row r="721" spans="1:1" ht="12.75" x14ac:dyDescent="0.2">
      <c r="A721" s="1"/>
    </row>
    <row r="722" spans="1:1" ht="12.75" x14ac:dyDescent="0.2">
      <c r="A722" s="1"/>
    </row>
    <row r="723" spans="1:1" ht="12.75" x14ac:dyDescent="0.2">
      <c r="A723" s="1"/>
    </row>
    <row r="724" spans="1:1" ht="12.75" x14ac:dyDescent="0.2">
      <c r="A724" s="1"/>
    </row>
    <row r="725" spans="1:1" ht="12.75" x14ac:dyDescent="0.2">
      <c r="A725" s="1"/>
    </row>
    <row r="726" spans="1:1" ht="12.75" x14ac:dyDescent="0.2">
      <c r="A726" s="1"/>
    </row>
    <row r="727" spans="1:1" ht="12.75" x14ac:dyDescent="0.2">
      <c r="A727" s="1"/>
    </row>
    <row r="728" spans="1:1" ht="12.75" x14ac:dyDescent="0.2">
      <c r="A728" s="1"/>
    </row>
    <row r="729" spans="1:1" ht="12.75" x14ac:dyDescent="0.2">
      <c r="A729" s="1"/>
    </row>
    <row r="730" spans="1:1" ht="12.75" x14ac:dyDescent="0.2">
      <c r="A730" s="1"/>
    </row>
    <row r="731" spans="1:1" ht="12.75" x14ac:dyDescent="0.2">
      <c r="A731" s="1"/>
    </row>
    <row r="732" spans="1:1" ht="12.75" x14ac:dyDescent="0.2">
      <c r="A732" s="1"/>
    </row>
    <row r="733" spans="1:1" ht="12.75" x14ac:dyDescent="0.2">
      <c r="A733" s="1"/>
    </row>
    <row r="734" spans="1:1" ht="12.75" x14ac:dyDescent="0.2">
      <c r="A734" s="1"/>
    </row>
    <row r="735" spans="1:1" ht="12.75" x14ac:dyDescent="0.2">
      <c r="A735" s="1"/>
    </row>
    <row r="736" spans="1:1" ht="12.75" x14ac:dyDescent="0.2">
      <c r="A736" s="1"/>
    </row>
    <row r="737" spans="1:1" ht="12.75" x14ac:dyDescent="0.2">
      <c r="A737" s="1"/>
    </row>
    <row r="738" spans="1:1" ht="12.75" x14ac:dyDescent="0.2">
      <c r="A738" s="1"/>
    </row>
    <row r="739" spans="1:1" ht="12.75" x14ac:dyDescent="0.2">
      <c r="A739" s="1"/>
    </row>
    <row r="740" spans="1:1" ht="12.75" x14ac:dyDescent="0.2">
      <c r="A740" s="1"/>
    </row>
    <row r="741" spans="1:1" ht="12.75" x14ac:dyDescent="0.2">
      <c r="A741" s="1"/>
    </row>
    <row r="742" spans="1:1" ht="12.75" x14ac:dyDescent="0.2">
      <c r="A742" s="1"/>
    </row>
    <row r="743" spans="1:1" ht="12.75" x14ac:dyDescent="0.2">
      <c r="A743" s="1"/>
    </row>
    <row r="744" spans="1:1" ht="12.75" x14ac:dyDescent="0.2">
      <c r="A744" s="1"/>
    </row>
    <row r="745" spans="1:1" ht="12.75" x14ac:dyDescent="0.2">
      <c r="A745" s="1"/>
    </row>
    <row r="746" spans="1:1" ht="12.75" x14ac:dyDescent="0.2">
      <c r="A746" s="1"/>
    </row>
    <row r="747" spans="1:1" ht="12.75" x14ac:dyDescent="0.2">
      <c r="A747" s="1"/>
    </row>
    <row r="748" spans="1:1" ht="12.75" x14ac:dyDescent="0.2">
      <c r="A748" s="1"/>
    </row>
    <row r="749" spans="1:1" ht="12.75" x14ac:dyDescent="0.2">
      <c r="A749" s="1"/>
    </row>
    <row r="750" spans="1:1" ht="12.75" x14ac:dyDescent="0.2">
      <c r="A750" s="1"/>
    </row>
    <row r="751" spans="1:1" ht="12.75" x14ac:dyDescent="0.2">
      <c r="A751" s="1"/>
    </row>
    <row r="752" spans="1:1" ht="12.75" x14ac:dyDescent="0.2">
      <c r="A752" s="1"/>
    </row>
    <row r="753" spans="1:1" ht="12.75" x14ac:dyDescent="0.2">
      <c r="A753" s="1"/>
    </row>
    <row r="754" spans="1:1" ht="12.75" x14ac:dyDescent="0.2">
      <c r="A754" s="1"/>
    </row>
    <row r="755" spans="1:1" ht="12.75" x14ac:dyDescent="0.2">
      <c r="A755" s="1"/>
    </row>
    <row r="756" spans="1:1" ht="12.75" x14ac:dyDescent="0.2">
      <c r="A756" s="1"/>
    </row>
    <row r="757" spans="1:1" ht="12.75" x14ac:dyDescent="0.2">
      <c r="A757" s="1"/>
    </row>
    <row r="758" spans="1:1" ht="12.75" x14ac:dyDescent="0.2">
      <c r="A758" s="1"/>
    </row>
    <row r="759" spans="1:1" ht="12.75" x14ac:dyDescent="0.2">
      <c r="A759" s="1"/>
    </row>
    <row r="760" spans="1:1" ht="12.75" x14ac:dyDescent="0.2">
      <c r="A760" s="1"/>
    </row>
    <row r="761" spans="1:1" ht="12.75" x14ac:dyDescent="0.2">
      <c r="A761" s="1"/>
    </row>
    <row r="762" spans="1:1" ht="12.75" x14ac:dyDescent="0.2">
      <c r="A762" s="1"/>
    </row>
    <row r="763" spans="1:1" ht="12.75" x14ac:dyDescent="0.2">
      <c r="A763" s="1"/>
    </row>
    <row r="764" spans="1:1" ht="12.75" x14ac:dyDescent="0.2">
      <c r="A764" s="1"/>
    </row>
    <row r="765" spans="1:1" ht="12.75" x14ac:dyDescent="0.2">
      <c r="A765" s="1"/>
    </row>
    <row r="766" spans="1:1" ht="12.75" x14ac:dyDescent="0.2">
      <c r="A766" s="1"/>
    </row>
    <row r="767" spans="1:1" ht="12.75" x14ac:dyDescent="0.2">
      <c r="A767" s="1"/>
    </row>
    <row r="768" spans="1:1" ht="12.75" x14ac:dyDescent="0.2">
      <c r="A768" s="1"/>
    </row>
    <row r="769" spans="1:1" ht="12.75" x14ac:dyDescent="0.2">
      <c r="A769" s="1"/>
    </row>
    <row r="770" spans="1:1" ht="12.75" x14ac:dyDescent="0.2">
      <c r="A770" s="1"/>
    </row>
    <row r="771" spans="1:1" ht="12.75" x14ac:dyDescent="0.2">
      <c r="A771" s="1"/>
    </row>
    <row r="772" spans="1:1" ht="12.75" x14ac:dyDescent="0.2">
      <c r="A772" s="1"/>
    </row>
    <row r="773" spans="1:1" ht="12.75" x14ac:dyDescent="0.2">
      <c r="A773" s="1"/>
    </row>
    <row r="774" spans="1:1" ht="12.75" x14ac:dyDescent="0.2">
      <c r="A774" s="1"/>
    </row>
    <row r="775" spans="1:1" ht="12.75" x14ac:dyDescent="0.2">
      <c r="A775" s="1"/>
    </row>
    <row r="776" spans="1:1" ht="12.75" x14ac:dyDescent="0.2">
      <c r="A776" s="1"/>
    </row>
    <row r="777" spans="1:1" ht="12.75" x14ac:dyDescent="0.2">
      <c r="A777" s="1"/>
    </row>
    <row r="778" spans="1:1" ht="12.75" x14ac:dyDescent="0.2">
      <c r="A778" s="1"/>
    </row>
    <row r="779" spans="1:1" ht="12.75" x14ac:dyDescent="0.2">
      <c r="A779" s="1"/>
    </row>
    <row r="780" spans="1:1" ht="12.75" x14ac:dyDescent="0.2">
      <c r="A780" s="1"/>
    </row>
    <row r="781" spans="1:1" ht="12.75" x14ac:dyDescent="0.2">
      <c r="A781" s="1"/>
    </row>
    <row r="782" spans="1:1" ht="12.75" x14ac:dyDescent="0.2">
      <c r="A782" s="1"/>
    </row>
    <row r="783" spans="1:1" ht="12.75" x14ac:dyDescent="0.2">
      <c r="A783" s="1"/>
    </row>
    <row r="784" spans="1:1" ht="12.75" x14ac:dyDescent="0.2">
      <c r="A784" s="1"/>
    </row>
    <row r="785" spans="1:1" ht="12.75" x14ac:dyDescent="0.2">
      <c r="A785" s="1"/>
    </row>
    <row r="786" spans="1:1" ht="12.75" x14ac:dyDescent="0.2">
      <c r="A786" s="1"/>
    </row>
    <row r="787" spans="1:1" ht="12.75" x14ac:dyDescent="0.2">
      <c r="A787" s="1"/>
    </row>
    <row r="788" spans="1:1" ht="12.75" x14ac:dyDescent="0.2">
      <c r="A788" s="1"/>
    </row>
    <row r="789" spans="1:1" ht="12.75" x14ac:dyDescent="0.2">
      <c r="A789" s="1"/>
    </row>
    <row r="790" spans="1:1" ht="12.75" x14ac:dyDescent="0.2">
      <c r="A790" s="1"/>
    </row>
    <row r="791" spans="1:1" ht="12.75" x14ac:dyDescent="0.2">
      <c r="A791" s="1"/>
    </row>
    <row r="792" spans="1:1" ht="12.75" x14ac:dyDescent="0.2">
      <c r="A792" s="1"/>
    </row>
    <row r="793" spans="1:1" ht="12.75" x14ac:dyDescent="0.2">
      <c r="A793" s="1"/>
    </row>
    <row r="794" spans="1:1" ht="12.75" x14ac:dyDescent="0.2">
      <c r="A794" s="1"/>
    </row>
    <row r="795" spans="1:1" ht="12.75" x14ac:dyDescent="0.2">
      <c r="A795" s="1"/>
    </row>
    <row r="796" spans="1:1" ht="12.75" x14ac:dyDescent="0.2">
      <c r="A796" s="1"/>
    </row>
    <row r="797" spans="1:1" ht="12.75" x14ac:dyDescent="0.2">
      <c r="A797" s="1"/>
    </row>
    <row r="798" spans="1:1" ht="12.75" x14ac:dyDescent="0.2">
      <c r="A798" s="1"/>
    </row>
    <row r="799" spans="1:1" ht="12.75" x14ac:dyDescent="0.2">
      <c r="A799" s="1"/>
    </row>
    <row r="800" spans="1:1" ht="12.75" x14ac:dyDescent="0.2">
      <c r="A800" s="1"/>
    </row>
    <row r="801" spans="1:1" ht="12.75" x14ac:dyDescent="0.2">
      <c r="A801" s="1"/>
    </row>
    <row r="802" spans="1:1" ht="12.75" x14ac:dyDescent="0.2">
      <c r="A802" s="1"/>
    </row>
    <row r="803" spans="1:1" ht="12.75" x14ac:dyDescent="0.2">
      <c r="A803" s="1"/>
    </row>
    <row r="804" spans="1:1" ht="12.75" x14ac:dyDescent="0.2">
      <c r="A804" s="1"/>
    </row>
    <row r="805" spans="1:1" ht="12.75" x14ac:dyDescent="0.2">
      <c r="A805" s="1"/>
    </row>
    <row r="806" spans="1:1" ht="12.75" x14ac:dyDescent="0.2">
      <c r="A806" s="1"/>
    </row>
    <row r="807" spans="1:1" ht="12.75" x14ac:dyDescent="0.2">
      <c r="A807" s="1"/>
    </row>
    <row r="808" spans="1:1" ht="12.75" x14ac:dyDescent="0.2">
      <c r="A808" s="1"/>
    </row>
    <row r="809" spans="1:1" ht="12.75" x14ac:dyDescent="0.2">
      <c r="A809" s="1"/>
    </row>
    <row r="810" spans="1:1" ht="12.75" x14ac:dyDescent="0.2">
      <c r="A810" s="1"/>
    </row>
    <row r="811" spans="1:1" ht="12.75" x14ac:dyDescent="0.2">
      <c r="A811" s="1"/>
    </row>
    <row r="812" spans="1:1" ht="12.75" x14ac:dyDescent="0.2">
      <c r="A812" s="1"/>
    </row>
    <row r="813" spans="1:1" ht="12.75" x14ac:dyDescent="0.2">
      <c r="A813" s="1"/>
    </row>
    <row r="814" spans="1:1" ht="12.75" x14ac:dyDescent="0.2">
      <c r="A814" s="1"/>
    </row>
    <row r="815" spans="1:1" ht="12.75" x14ac:dyDescent="0.2">
      <c r="A815" s="1"/>
    </row>
    <row r="816" spans="1:1" ht="12.75" x14ac:dyDescent="0.2">
      <c r="A816" s="1"/>
    </row>
    <row r="817" spans="1:1" ht="12.75" x14ac:dyDescent="0.2">
      <c r="A817" s="1"/>
    </row>
    <row r="818" spans="1:1" ht="12.75" x14ac:dyDescent="0.2">
      <c r="A818" s="1"/>
    </row>
    <row r="819" spans="1:1" ht="12.75" x14ac:dyDescent="0.2">
      <c r="A819" s="1"/>
    </row>
    <row r="820" spans="1:1" ht="12.75" x14ac:dyDescent="0.2">
      <c r="A820" s="1"/>
    </row>
    <row r="821" spans="1:1" ht="12.75" x14ac:dyDescent="0.2">
      <c r="A821" s="1"/>
    </row>
    <row r="822" spans="1:1" ht="12.75" x14ac:dyDescent="0.2">
      <c r="A822" s="1"/>
    </row>
    <row r="823" spans="1:1" ht="12.75" x14ac:dyDescent="0.2">
      <c r="A823" s="1"/>
    </row>
    <row r="824" spans="1:1" ht="12.75" x14ac:dyDescent="0.2">
      <c r="A824" s="1"/>
    </row>
    <row r="825" spans="1:1" ht="12.75" x14ac:dyDescent="0.2">
      <c r="A825" s="1"/>
    </row>
    <row r="826" spans="1:1" ht="12.75" x14ac:dyDescent="0.2">
      <c r="A826" s="1"/>
    </row>
    <row r="827" spans="1:1" ht="12.75" x14ac:dyDescent="0.2">
      <c r="A827" s="1"/>
    </row>
    <row r="828" spans="1:1" ht="12.75" x14ac:dyDescent="0.2">
      <c r="A828" s="1"/>
    </row>
    <row r="829" spans="1:1" ht="12.75" x14ac:dyDescent="0.2">
      <c r="A829" s="1"/>
    </row>
    <row r="830" spans="1:1" ht="12.75" x14ac:dyDescent="0.2">
      <c r="A830" s="1"/>
    </row>
    <row r="831" spans="1:1" ht="12.75" x14ac:dyDescent="0.2">
      <c r="A831" s="1"/>
    </row>
    <row r="832" spans="1:1" ht="12.75" x14ac:dyDescent="0.2">
      <c r="A832" s="1"/>
    </row>
    <row r="833" spans="1:1" ht="12.75" x14ac:dyDescent="0.2">
      <c r="A833" s="1"/>
    </row>
    <row r="834" spans="1:1" ht="12.75" x14ac:dyDescent="0.2">
      <c r="A834" s="1"/>
    </row>
    <row r="835" spans="1:1" ht="12.75" x14ac:dyDescent="0.2">
      <c r="A835" s="1"/>
    </row>
    <row r="836" spans="1:1" ht="12.75" x14ac:dyDescent="0.2">
      <c r="A836" s="1"/>
    </row>
    <row r="837" spans="1:1" ht="12.75" x14ac:dyDescent="0.2">
      <c r="A837" s="1"/>
    </row>
    <row r="838" spans="1:1" ht="12.75" x14ac:dyDescent="0.2">
      <c r="A838" s="1"/>
    </row>
    <row r="839" spans="1:1" ht="12.75" x14ac:dyDescent="0.2">
      <c r="A839" s="1"/>
    </row>
    <row r="840" spans="1:1" ht="12.75" x14ac:dyDescent="0.2">
      <c r="A840" s="1"/>
    </row>
    <row r="841" spans="1:1" ht="12.75" x14ac:dyDescent="0.2">
      <c r="A841" s="1"/>
    </row>
    <row r="842" spans="1:1" ht="12.75" x14ac:dyDescent="0.2">
      <c r="A842" s="1"/>
    </row>
    <row r="843" spans="1:1" ht="12.75" x14ac:dyDescent="0.2">
      <c r="A843" s="1"/>
    </row>
    <row r="844" spans="1:1" ht="12.75" x14ac:dyDescent="0.2">
      <c r="A844" s="1"/>
    </row>
    <row r="845" spans="1:1" ht="12.75" x14ac:dyDescent="0.2">
      <c r="A845" s="1"/>
    </row>
    <row r="846" spans="1:1" ht="12.75" x14ac:dyDescent="0.2">
      <c r="A846" s="1"/>
    </row>
    <row r="847" spans="1:1" ht="12.75" x14ac:dyDescent="0.2">
      <c r="A847" s="1"/>
    </row>
    <row r="848" spans="1:1" ht="12.75" x14ac:dyDescent="0.2">
      <c r="A848" s="1"/>
    </row>
    <row r="849" spans="1:1" ht="12.75" x14ac:dyDescent="0.2">
      <c r="A849" s="1"/>
    </row>
    <row r="850" spans="1:1" ht="12.75" x14ac:dyDescent="0.2">
      <c r="A850" s="1"/>
    </row>
    <row r="851" spans="1:1" ht="12.75" x14ac:dyDescent="0.2">
      <c r="A851" s="1"/>
    </row>
    <row r="852" spans="1:1" ht="12.75" x14ac:dyDescent="0.2">
      <c r="A852" s="1"/>
    </row>
    <row r="853" spans="1:1" ht="12.75" x14ac:dyDescent="0.2">
      <c r="A853" s="1"/>
    </row>
    <row r="854" spans="1:1" ht="12.75" x14ac:dyDescent="0.2">
      <c r="A854" s="1"/>
    </row>
    <row r="855" spans="1:1" ht="12.75" x14ac:dyDescent="0.2">
      <c r="A855" s="1"/>
    </row>
    <row r="856" spans="1:1" ht="12.75" x14ac:dyDescent="0.2">
      <c r="A856" s="1"/>
    </row>
    <row r="857" spans="1:1" ht="12.75" x14ac:dyDescent="0.2">
      <c r="A857" s="1"/>
    </row>
    <row r="858" spans="1:1" ht="12.75" x14ac:dyDescent="0.2">
      <c r="A858" s="1"/>
    </row>
    <row r="859" spans="1:1" ht="12.75" x14ac:dyDescent="0.2">
      <c r="A859" s="1"/>
    </row>
    <row r="860" spans="1:1" ht="12.75" x14ac:dyDescent="0.2">
      <c r="A860" s="1"/>
    </row>
    <row r="861" spans="1:1" ht="12.75" x14ac:dyDescent="0.2">
      <c r="A861" s="1"/>
    </row>
    <row r="862" spans="1:1" ht="12.75" x14ac:dyDescent="0.2">
      <c r="A862" s="1"/>
    </row>
    <row r="863" spans="1:1" ht="12.75" x14ac:dyDescent="0.2">
      <c r="A863" s="1"/>
    </row>
    <row r="864" spans="1:1" ht="12.75" x14ac:dyDescent="0.2">
      <c r="A864" s="1"/>
    </row>
    <row r="865" spans="1:1" ht="12.75" x14ac:dyDescent="0.2">
      <c r="A865" s="1"/>
    </row>
    <row r="866" spans="1:1" ht="12.75" x14ac:dyDescent="0.2">
      <c r="A866" s="1"/>
    </row>
    <row r="867" spans="1:1" ht="12.75" x14ac:dyDescent="0.2">
      <c r="A867" s="1"/>
    </row>
    <row r="868" spans="1:1" ht="12.75" x14ac:dyDescent="0.2">
      <c r="A868" s="1"/>
    </row>
    <row r="869" spans="1:1" ht="12.75" x14ac:dyDescent="0.2">
      <c r="A869" s="1"/>
    </row>
    <row r="870" spans="1:1" ht="12.75" x14ac:dyDescent="0.2">
      <c r="A870" s="1"/>
    </row>
    <row r="871" spans="1:1" ht="12.75" x14ac:dyDescent="0.2">
      <c r="A871" s="1"/>
    </row>
    <row r="872" spans="1:1" ht="12.75" x14ac:dyDescent="0.2">
      <c r="A872" s="1"/>
    </row>
    <row r="873" spans="1:1" ht="12.75" x14ac:dyDescent="0.2">
      <c r="A873" s="1"/>
    </row>
    <row r="874" spans="1:1" ht="12.75" x14ac:dyDescent="0.2">
      <c r="A874" s="1"/>
    </row>
    <row r="875" spans="1:1" ht="12.75" x14ac:dyDescent="0.2">
      <c r="A875" s="1"/>
    </row>
    <row r="876" spans="1:1" ht="12.75" x14ac:dyDescent="0.2">
      <c r="A876" s="1"/>
    </row>
    <row r="877" spans="1:1" ht="12.75" x14ac:dyDescent="0.2">
      <c r="A877" s="1"/>
    </row>
    <row r="878" spans="1:1" ht="12.75" x14ac:dyDescent="0.2">
      <c r="A878" s="1"/>
    </row>
    <row r="879" spans="1:1" ht="12.75" x14ac:dyDescent="0.2">
      <c r="A879" s="1"/>
    </row>
    <row r="880" spans="1:1" ht="12.75" x14ac:dyDescent="0.2">
      <c r="A880" s="1"/>
    </row>
    <row r="881" spans="1:1" ht="12.75" x14ac:dyDescent="0.2">
      <c r="A881" s="1"/>
    </row>
    <row r="882" spans="1:1" ht="12.75" x14ac:dyDescent="0.2">
      <c r="A882" s="1"/>
    </row>
    <row r="883" spans="1:1" ht="12.75" x14ac:dyDescent="0.2">
      <c r="A883" s="1"/>
    </row>
    <row r="884" spans="1:1" ht="12.75" x14ac:dyDescent="0.2">
      <c r="A884" s="1"/>
    </row>
    <row r="885" spans="1:1" ht="12.75" x14ac:dyDescent="0.2">
      <c r="A885" s="1"/>
    </row>
    <row r="886" spans="1:1" ht="12.75" x14ac:dyDescent="0.2">
      <c r="A886" s="1"/>
    </row>
    <row r="887" spans="1:1" ht="12.75" x14ac:dyDescent="0.2">
      <c r="A887" s="1"/>
    </row>
    <row r="888" spans="1:1" ht="12.75" x14ac:dyDescent="0.2">
      <c r="A888" s="1"/>
    </row>
    <row r="889" spans="1:1" ht="12.75" x14ac:dyDescent="0.2">
      <c r="A889" s="1"/>
    </row>
    <row r="890" spans="1:1" ht="12.75" x14ac:dyDescent="0.2">
      <c r="A890" s="1"/>
    </row>
    <row r="891" spans="1:1" ht="12.75" x14ac:dyDescent="0.2">
      <c r="A891" s="1"/>
    </row>
    <row r="892" spans="1:1" ht="12.75" x14ac:dyDescent="0.2">
      <c r="A892" s="1"/>
    </row>
    <row r="893" spans="1:1" ht="12.75" x14ac:dyDescent="0.2">
      <c r="A893" s="1"/>
    </row>
    <row r="894" spans="1:1" ht="12.75" x14ac:dyDescent="0.2">
      <c r="A894" s="1"/>
    </row>
    <row r="895" spans="1:1" ht="12.75" x14ac:dyDescent="0.2">
      <c r="A895" s="1"/>
    </row>
    <row r="896" spans="1:1" ht="12.75" x14ac:dyDescent="0.2">
      <c r="A896" s="1"/>
    </row>
    <row r="897" spans="1:1" ht="12.75" x14ac:dyDescent="0.2">
      <c r="A897" s="1"/>
    </row>
    <row r="898" spans="1:1" ht="12.75" x14ac:dyDescent="0.2">
      <c r="A898" s="1"/>
    </row>
    <row r="899" spans="1:1" ht="12.75" x14ac:dyDescent="0.2">
      <c r="A899" s="1"/>
    </row>
    <row r="900" spans="1:1" ht="12.75" x14ac:dyDescent="0.2">
      <c r="A900" s="1"/>
    </row>
    <row r="901" spans="1:1" ht="12.75" x14ac:dyDescent="0.2">
      <c r="A901" s="1"/>
    </row>
    <row r="902" spans="1:1" ht="12.75" x14ac:dyDescent="0.2">
      <c r="A902" s="1"/>
    </row>
    <row r="903" spans="1:1" ht="12.75" x14ac:dyDescent="0.2">
      <c r="A903" s="1"/>
    </row>
    <row r="904" spans="1:1" ht="12.75" x14ac:dyDescent="0.2">
      <c r="A904" s="1"/>
    </row>
    <row r="905" spans="1:1" ht="12.75" x14ac:dyDescent="0.2">
      <c r="A905" s="1"/>
    </row>
    <row r="906" spans="1:1" ht="12.75" x14ac:dyDescent="0.2">
      <c r="A906" s="1"/>
    </row>
    <row r="907" spans="1:1" ht="12.75" x14ac:dyDescent="0.2">
      <c r="A907" s="1"/>
    </row>
    <row r="908" spans="1:1" ht="12.75" x14ac:dyDescent="0.2">
      <c r="A908" s="1"/>
    </row>
    <row r="909" spans="1:1" ht="12.75" x14ac:dyDescent="0.2">
      <c r="A909" s="1"/>
    </row>
    <row r="910" spans="1:1" ht="12.75" x14ac:dyDescent="0.2">
      <c r="A910" s="1"/>
    </row>
    <row r="911" spans="1:1" ht="12.75" x14ac:dyDescent="0.2">
      <c r="A911" s="1"/>
    </row>
    <row r="912" spans="1:1" ht="12.75" x14ac:dyDescent="0.2">
      <c r="A912" s="1"/>
    </row>
    <row r="913" spans="1:1" ht="12.75" x14ac:dyDescent="0.2">
      <c r="A913" s="1"/>
    </row>
    <row r="914" spans="1:1" ht="12.75" x14ac:dyDescent="0.2">
      <c r="A914" s="1"/>
    </row>
    <row r="915" spans="1:1" ht="12.75" x14ac:dyDescent="0.2">
      <c r="A915" s="1"/>
    </row>
    <row r="916" spans="1:1" ht="12.75" x14ac:dyDescent="0.2">
      <c r="A916" s="1"/>
    </row>
    <row r="917" spans="1:1" ht="12.75" x14ac:dyDescent="0.2">
      <c r="A917" s="1"/>
    </row>
    <row r="918" spans="1:1" ht="12.75" x14ac:dyDescent="0.2">
      <c r="A918" s="1"/>
    </row>
    <row r="919" spans="1:1" ht="12.75" x14ac:dyDescent="0.2">
      <c r="A919" s="1"/>
    </row>
    <row r="920" spans="1:1" ht="12.75" x14ac:dyDescent="0.2">
      <c r="A920" s="1"/>
    </row>
    <row r="921" spans="1:1" ht="12.75" x14ac:dyDescent="0.2">
      <c r="A921" s="1"/>
    </row>
    <row r="922" spans="1:1" ht="12.75" x14ac:dyDescent="0.2">
      <c r="A922" s="1"/>
    </row>
    <row r="923" spans="1:1" ht="12.75" x14ac:dyDescent="0.2">
      <c r="A923" s="1"/>
    </row>
    <row r="924" spans="1:1" ht="12.75" x14ac:dyDescent="0.2">
      <c r="A924" s="1"/>
    </row>
    <row r="925" spans="1:1" ht="12.75" x14ac:dyDescent="0.2">
      <c r="A925" s="1"/>
    </row>
    <row r="926" spans="1:1" ht="12.75" x14ac:dyDescent="0.2">
      <c r="A926" s="1"/>
    </row>
    <row r="927" spans="1:1" ht="12.75" x14ac:dyDescent="0.2">
      <c r="A927" s="1"/>
    </row>
    <row r="928" spans="1:1" ht="12.75" x14ac:dyDescent="0.2">
      <c r="A928" s="1"/>
    </row>
    <row r="929" spans="1:1" ht="12.75" x14ac:dyDescent="0.2">
      <c r="A929" s="1"/>
    </row>
    <row r="930" spans="1:1" ht="12.75" x14ac:dyDescent="0.2">
      <c r="A930" s="1"/>
    </row>
    <row r="931" spans="1:1" ht="12.75" x14ac:dyDescent="0.2">
      <c r="A931" s="1"/>
    </row>
    <row r="932" spans="1:1" ht="12.75" x14ac:dyDescent="0.2">
      <c r="A932" s="1"/>
    </row>
    <row r="933" spans="1:1" ht="12.75" x14ac:dyDescent="0.2">
      <c r="A933" s="1"/>
    </row>
    <row r="934" spans="1:1" ht="12.75" x14ac:dyDescent="0.2">
      <c r="A934" s="1"/>
    </row>
    <row r="935" spans="1:1" ht="12.75" x14ac:dyDescent="0.2">
      <c r="A935" s="1"/>
    </row>
    <row r="936" spans="1:1" ht="12.75" x14ac:dyDescent="0.2">
      <c r="A936" s="1"/>
    </row>
    <row r="937" spans="1:1" ht="12.75" x14ac:dyDescent="0.2">
      <c r="A937" s="1"/>
    </row>
    <row r="938" spans="1:1" ht="12.75" x14ac:dyDescent="0.2">
      <c r="A938" s="1"/>
    </row>
    <row r="939" spans="1:1" ht="12.75" x14ac:dyDescent="0.2">
      <c r="A939" s="1"/>
    </row>
    <row r="940" spans="1:1" ht="12.75" x14ac:dyDescent="0.2">
      <c r="A940" s="1"/>
    </row>
    <row r="941" spans="1:1" ht="12.75" x14ac:dyDescent="0.2">
      <c r="A941" s="1"/>
    </row>
    <row r="942" spans="1:1" ht="12.75" x14ac:dyDescent="0.2">
      <c r="A942" s="1"/>
    </row>
    <row r="943" spans="1:1" ht="12.75" x14ac:dyDescent="0.2">
      <c r="A943" s="1"/>
    </row>
    <row r="944" spans="1:1" ht="12.75" x14ac:dyDescent="0.2">
      <c r="A944" s="1"/>
    </row>
    <row r="945" spans="1:1" ht="12.75" x14ac:dyDescent="0.2">
      <c r="A945" s="1"/>
    </row>
    <row r="946" spans="1:1" ht="12.75" x14ac:dyDescent="0.2">
      <c r="A946" s="1"/>
    </row>
    <row r="947" spans="1:1" ht="12.75" x14ac:dyDescent="0.2">
      <c r="A947" s="1"/>
    </row>
    <row r="948" spans="1:1" ht="12.75" x14ac:dyDescent="0.2">
      <c r="A948" s="1"/>
    </row>
    <row r="949" spans="1:1" ht="12.75" x14ac:dyDescent="0.2">
      <c r="A949" s="1"/>
    </row>
    <row r="950" spans="1:1" ht="12.75" x14ac:dyDescent="0.2">
      <c r="A950" s="1"/>
    </row>
    <row r="951" spans="1:1" ht="12.75" x14ac:dyDescent="0.2">
      <c r="A951" s="1"/>
    </row>
    <row r="952" spans="1:1" ht="12.75" x14ac:dyDescent="0.2">
      <c r="A952" s="1"/>
    </row>
    <row r="953" spans="1:1" ht="12.75" x14ac:dyDescent="0.2">
      <c r="A953" s="1"/>
    </row>
    <row r="954" spans="1:1" ht="12.75" x14ac:dyDescent="0.2">
      <c r="A954" s="1"/>
    </row>
    <row r="955" spans="1:1" ht="12.75" x14ac:dyDescent="0.2">
      <c r="A955" s="1"/>
    </row>
    <row r="956" spans="1:1" ht="12.75" x14ac:dyDescent="0.2">
      <c r="A956" s="1"/>
    </row>
    <row r="957" spans="1:1" ht="12.75" x14ac:dyDescent="0.2">
      <c r="A957" s="1"/>
    </row>
    <row r="958" spans="1:1" ht="12.75" x14ac:dyDescent="0.2">
      <c r="A958" s="1"/>
    </row>
    <row r="959" spans="1:1" ht="12.75" x14ac:dyDescent="0.2">
      <c r="A959" s="1"/>
    </row>
    <row r="960" spans="1:1" ht="12.75" x14ac:dyDescent="0.2">
      <c r="A960" s="1"/>
    </row>
    <row r="961" spans="1:1" ht="12.75" x14ac:dyDescent="0.2">
      <c r="A961" s="1"/>
    </row>
    <row r="962" spans="1:1" ht="12.75" x14ac:dyDescent="0.2">
      <c r="A962" s="1"/>
    </row>
    <row r="963" spans="1:1" ht="12.75" x14ac:dyDescent="0.2">
      <c r="A963" s="1"/>
    </row>
    <row r="964" spans="1:1" ht="12.75" x14ac:dyDescent="0.2">
      <c r="A964" s="1"/>
    </row>
    <row r="965" spans="1:1" ht="12.75" x14ac:dyDescent="0.2">
      <c r="A965" s="1"/>
    </row>
    <row r="966" spans="1:1" ht="12.75" x14ac:dyDescent="0.2">
      <c r="A966" s="1"/>
    </row>
    <row r="967" spans="1:1" ht="12.75" x14ac:dyDescent="0.2">
      <c r="A967" s="1"/>
    </row>
    <row r="968" spans="1:1" ht="12.75" x14ac:dyDescent="0.2">
      <c r="A968" s="1"/>
    </row>
    <row r="969" spans="1:1" ht="12.75" x14ac:dyDescent="0.2">
      <c r="A969" s="1"/>
    </row>
    <row r="970" spans="1:1" ht="12.75" x14ac:dyDescent="0.2">
      <c r="A970" s="1"/>
    </row>
    <row r="971" spans="1:1" ht="12.75" x14ac:dyDescent="0.2">
      <c r="A971" s="1"/>
    </row>
    <row r="972" spans="1:1" ht="12.75" x14ac:dyDescent="0.2">
      <c r="A972" s="1"/>
    </row>
    <row r="973" spans="1:1" ht="12.75" x14ac:dyDescent="0.2">
      <c r="A973" s="1"/>
    </row>
    <row r="974" spans="1:1" ht="12.75" x14ac:dyDescent="0.2">
      <c r="A974" s="1"/>
    </row>
    <row r="975" spans="1:1" ht="12.75" x14ac:dyDescent="0.2">
      <c r="A975" s="1"/>
    </row>
    <row r="976" spans="1:1" ht="12.75" x14ac:dyDescent="0.2">
      <c r="A976" s="1"/>
    </row>
    <row r="977" spans="1:1" ht="12.75" x14ac:dyDescent="0.2">
      <c r="A977" s="1"/>
    </row>
    <row r="978" spans="1:1" ht="12.75" x14ac:dyDescent="0.2">
      <c r="A978" s="1"/>
    </row>
    <row r="979" spans="1:1" ht="12.75" x14ac:dyDescent="0.2">
      <c r="A979" s="1"/>
    </row>
    <row r="980" spans="1:1" ht="12.75" x14ac:dyDescent="0.2">
      <c r="A980" s="1"/>
    </row>
    <row r="981" spans="1:1" ht="12.75" x14ac:dyDescent="0.2">
      <c r="A981" s="1"/>
    </row>
    <row r="982" spans="1:1" ht="12.75" x14ac:dyDescent="0.2">
      <c r="A982" s="1"/>
    </row>
    <row r="983" spans="1:1" ht="12.75" x14ac:dyDescent="0.2">
      <c r="A983" s="1"/>
    </row>
    <row r="984" spans="1:1" ht="12.75" x14ac:dyDescent="0.2">
      <c r="A984" s="1"/>
    </row>
    <row r="985" spans="1:1" ht="12.75" x14ac:dyDescent="0.2">
      <c r="A985" s="1"/>
    </row>
    <row r="986" spans="1:1" ht="12.75" x14ac:dyDescent="0.2">
      <c r="A986" s="1"/>
    </row>
    <row r="987" spans="1:1" ht="12.75" x14ac:dyDescent="0.2">
      <c r="A987" s="1"/>
    </row>
    <row r="988" spans="1:1" ht="12.75" x14ac:dyDescent="0.2">
      <c r="A988" s="1"/>
    </row>
    <row r="989" spans="1:1" ht="12.75" x14ac:dyDescent="0.2">
      <c r="A989" s="1"/>
    </row>
    <row r="990" spans="1:1" ht="12.75" x14ac:dyDescent="0.2">
      <c r="A990" s="1"/>
    </row>
    <row r="991" spans="1:1" ht="12.75" x14ac:dyDescent="0.2">
      <c r="A991" s="1"/>
    </row>
    <row r="992" spans="1:1" ht="12.75" x14ac:dyDescent="0.2">
      <c r="A992" s="1"/>
    </row>
    <row r="993" spans="1:1" ht="12.75" x14ac:dyDescent="0.2">
      <c r="A993" s="1"/>
    </row>
    <row r="994" spans="1:1" ht="12.75" x14ac:dyDescent="0.2">
      <c r="A994" s="1"/>
    </row>
    <row r="995" spans="1:1" ht="12.75" x14ac:dyDescent="0.2">
      <c r="A995" s="1"/>
    </row>
    <row r="996" spans="1:1" ht="12.75" x14ac:dyDescent="0.2">
      <c r="A996" s="1"/>
    </row>
    <row r="997" spans="1:1" ht="12.75" x14ac:dyDescent="0.2">
      <c r="A997" s="1"/>
    </row>
    <row r="998" spans="1:1" ht="12.75" x14ac:dyDescent="0.2">
      <c r="A998" s="1"/>
    </row>
    <row r="999" spans="1:1" ht="12.75" x14ac:dyDescent="0.2">
      <c r="A999" s="1"/>
    </row>
    <row r="1000" spans="1:1" ht="12.75" x14ac:dyDescent="0.2">
      <c r="A1000" s="1"/>
    </row>
    <row r="1001" spans="1:1" ht="12.75" x14ac:dyDescent="0.2">
      <c r="A1001" s="1"/>
    </row>
    <row r="1002" spans="1:1" ht="12.75" x14ac:dyDescent="0.2">
      <c r="A1002" s="1"/>
    </row>
    <row r="1003" spans="1:1" ht="12.75" x14ac:dyDescent="0.2">
      <c r="A1003" s="1"/>
    </row>
    <row r="1004" spans="1:1" ht="12.75" x14ac:dyDescent="0.2">
      <c r="A1004" s="1"/>
    </row>
    <row r="1005" spans="1:1" ht="12.75" x14ac:dyDescent="0.2">
      <c r="A1005" s="1"/>
    </row>
    <row r="1006" spans="1:1" ht="12.75" x14ac:dyDescent="0.2">
      <c r="A1006" s="1"/>
    </row>
    <row r="1007" spans="1:1" ht="12.75" x14ac:dyDescent="0.2">
      <c r="A1007" s="1"/>
    </row>
    <row r="1008" spans="1:1" ht="12.75" x14ac:dyDescent="0.2">
      <c r="A1008" s="1"/>
    </row>
    <row r="1009" spans="1:1" ht="12.75" x14ac:dyDescent="0.2">
      <c r="A1009" s="1"/>
    </row>
    <row r="1010" spans="1:1" ht="12.75" x14ac:dyDescent="0.2">
      <c r="A1010" s="1"/>
    </row>
    <row r="1011" spans="1:1" ht="12.75" x14ac:dyDescent="0.2">
      <c r="A1011" s="1"/>
    </row>
    <row r="1012" spans="1:1" ht="12.75" x14ac:dyDescent="0.2">
      <c r="A1012" s="1"/>
    </row>
    <row r="1013" spans="1:1" ht="12.75" x14ac:dyDescent="0.2">
      <c r="A1013" s="1"/>
    </row>
    <row r="1014" spans="1:1" ht="12.75" x14ac:dyDescent="0.2">
      <c r="A1014" s="1"/>
    </row>
    <row r="1015" spans="1:1" ht="12.75" x14ac:dyDescent="0.2">
      <c r="A1015" s="1"/>
    </row>
    <row r="1016" spans="1:1" ht="12.75" x14ac:dyDescent="0.2">
      <c r="A1016" s="1"/>
    </row>
    <row r="1017" spans="1:1" ht="12.75" x14ac:dyDescent="0.2">
      <c r="A1017" s="1"/>
    </row>
    <row r="1018" spans="1:1" ht="12.75" x14ac:dyDescent="0.2">
      <c r="A1018" s="1"/>
    </row>
    <row r="1019" spans="1:1" ht="12.75" x14ac:dyDescent="0.2">
      <c r="A1019" s="1"/>
    </row>
    <row r="1020" spans="1:1" ht="12.75" x14ac:dyDescent="0.2">
      <c r="A1020" s="1"/>
    </row>
    <row r="1021" spans="1:1" ht="12.75" x14ac:dyDescent="0.2">
      <c r="A1021" s="1"/>
    </row>
    <row r="1022" spans="1:1" ht="12.75" x14ac:dyDescent="0.2">
      <c r="A1022" s="1"/>
    </row>
    <row r="1023" spans="1:1" ht="12.75" x14ac:dyDescent="0.2">
      <c r="A1023" s="1"/>
    </row>
    <row r="1024" spans="1:1" ht="12.75" x14ac:dyDescent="0.2">
      <c r="A1024" s="1"/>
    </row>
    <row r="1025" spans="1:1" ht="12.75" x14ac:dyDescent="0.2">
      <c r="A1025" s="1"/>
    </row>
    <row r="1026" spans="1:1" ht="12.75" x14ac:dyDescent="0.2">
      <c r="A1026" s="1"/>
    </row>
    <row r="1027" spans="1:1" ht="12.75" x14ac:dyDescent="0.2">
      <c r="A1027" s="1"/>
    </row>
    <row r="1028" spans="1:1" ht="12.75" x14ac:dyDescent="0.2">
      <c r="A1028" s="1"/>
    </row>
    <row r="1029" spans="1:1" ht="12.75" x14ac:dyDescent="0.2">
      <c r="A1029" s="1"/>
    </row>
    <row r="1030" spans="1:1" ht="12.75" x14ac:dyDescent="0.2">
      <c r="A1030" s="1"/>
    </row>
    <row r="1031" spans="1:1" ht="12.75" x14ac:dyDescent="0.2">
      <c r="A1031" s="1"/>
    </row>
    <row r="1032" spans="1:1" ht="12.75" x14ac:dyDescent="0.2">
      <c r="A1032" s="1"/>
    </row>
    <row r="1033" spans="1:1" ht="12.75" x14ac:dyDescent="0.2">
      <c r="A1033" s="1"/>
    </row>
    <row r="1034" spans="1:1" ht="12.75" x14ac:dyDescent="0.2">
      <c r="A1034" s="1"/>
    </row>
    <row r="1035" spans="1:1" ht="12.75" x14ac:dyDescent="0.2">
      <c r="A1035" s="1"/>
    </row>
    <row r="1036" spans="1:1" ht="12.75" x14ac:dyDescent="0.2">
      <c r="A1036" s="1"/>
    </row>
    <row r="1037" spans="1:1" ht="12.75" x14ac:dyDescent="0.2">
      <c r="A1037" s="1"/>
    </row>
    <row r="1038" spans="1:1" ht="12.75" x14ac:dyDescent="0.2">
      <c r="A1038" s="1"/>
    </row>
    <row r="1039" spans="1:1" ht="12.75" x14ac:dyDescent="0.2">
      <c r="A1039" s="1"/>
    </row>
    <row r="1040" spans="1:1" ht="12.75" x14ac:dyDescent="0.2">
      <c r="A1040" s="1"/>
    </row>
    <row r="1041" spans="1:1" ht="12.75" x14ac:dyDescent="0.2">
      <c r="A1041" s="1"/>
    </row>
    <row r="1042" spans="1:1" ht="12.75" x14ac:dyDescent="0.2">
      <c r="A1042" s="1"/>
    </row>
    <row r="1043" spans="1:1" ht="12.75" x14ac:dyDescent="0.2">
      <c r="A1043" s="1"/>
    </row>
    <row r="1044" spans="1:1" ht="12.75" x14ac:dyDescent="0.2">
      <c r="A1044" s="1"/>
    </row>
    <row r="1045" spans="1:1" ht="12.75" x14ac:dyDescent="0.2">
      <c r="A1045" s="1"/>
    </row>
    <row r="1046" spans="1:1" ht="12.75" x14ac:dyDescent="0.2">
      <c r="A1046" s="1"/>
    </row>
    <row r="1047" spans="1:1" ht="12.75" x14ac:dyDescent="0.2">
      <c r="A1047" s="1"/>
    </row>
    <row r="1048" spans="1:1" ht="12.75" x14ac:dyDescent="0.2">
      <c r="A1048" s="1"/>
    </row>
    <row r="1049" spans="1:1" ht="12.75" x14ac:dyDescent="0.2">
      <c r="A1049" s="1"/>
    </row>
    <row r="1050" spans="1:1" ht="12.75" x14ac:dyDescent="0.2">
      <c r="A1050" s="1"/>
    </row>
    <row r="1051" spans="1:1" ht="12.75" x14ac:dyDescent="0.2">
      <c r="A1051" s="1"/>
    </row>
    <row r="1052" spans="1:1" ht="12.75" x14ac:dyDescent="0.2">
      <c r="A1052" s="1"/>
    </row>
    <row r="1053" spans="1:1" ht="12.75" x14ac:dyDescent="0.2">
      <c r="A1053" s="1"/>
    </row>
    <row r="1054" spans="1:1" ht="12.75" x14ac:dyDescent="0.2">
      <c r="A1054" s="1"/>
    </row>
    <row r="1055" spans="1:1" ht="12.75" x14ac:dyDescent="0.2">
      <c r="A1055" s="1"/>
    </row>
    <row r="1056" spans="1:1" ht="12.75" x14ac:dyDescent="0.2">
      <c r="A1056" s="1"/>
    </row>
    <row r="1057" spans="1:1" ht="12.75" x14ac:dyDescent="0.2">
      <c r="A1057" s="1"/>
    </row>
    <row r="1058" spans="1:1" ht="12.75" x14ac:dyDescent="0.2">
      <c r="A1058" s="1"/>
    </row>
    <row r="1059" spans="1:1" ht="12.75" x14ac:dyDescent="0.2">
      <c r="A1059" s="1"/>
    </row>
    <row r="1060" spans="1:1" ht="12.75" x14ac:dyDescent="0.2">
      <c r="A1060" s="1"/>
    </row>
    <row r="1061" spans="1:1" ht="12.75" x14ac:dyDescent="0.2">
      <c r="A1061" s="1"/>
    </row>
    <row r="1062" spans="1:1" ht="12.75" x14ac:dyDescent="0.2">
      <c r="A1062" s="1"/>
    </row>
    <row r="1063" spans="1:1" ht="12.75" x14ac:dyDescent="0.2">
      <c r="A1063" s="1"/>
    </row>
    <row r="1064" spans="1:1" ht="12.75" x14ac:dyDescent="0.2">
      <c r="A1064" s="1"/>
    </row>
    <row r="1065" spans="1:1" ht="12.75" x14ac:dyDescent="0.2">
      <c r="A1065" s="1"/>
    </row>
    <row r="1066" spans="1:1" ht="12.75" x14ac:dyDescent="0.2">
      <c r="A1066" s="1"/>
    </row>
    <row r="1067" spans="1:1" ht="12.75" x14ac:dyDescent="0.2">
      <c r="A1067" s="1"/>
    </row>
    <row r="1068" spans="1:1" ht="12.75" x14ac:dyDescent="0.2">
      <c r="A1068" s="1"/>
    </row>
    <row r="1069" spans="1:1" ht="12.75" x14ac:dyDescent="0.2">
      <c r="A1069" s="1"/>
    </row>
    <row r="1070" spans="1:1" ht="12.75" x14ac:dyDescent="0.2">
      <c r="A1070" s="1"/>
    </row>
    <row r="1071" spans="1:1" ht="12.75" x14ac:dyDescent="0.2">
      <c r="A1071" s="1"/>
    </row>
    <row r="1072" spans="1:1" ht="12.75" x14ac:dyDescent="0.2">
      <c r="A1072" s="1"/>
    </row>
    <row r="1073" spans="1:1" ht="12.75" x14ac:dyDescent="0.2">
      <c r="A1073" s="1"/>
    </row>
    <row r="1074" spans="1:1" ht="12.75" x14ac:dyDescent="0.2">
      <c r="A1074" s="1"/>
    </row>
    <row r="1075" spans="1:1" ht="12.75" x14ac:dyDescent="0.2">
      <c r="A1075" s="1"/>
    </row>
    <row r="1076" spans="1:1" ht="12.75" x14ac:dyDescent="0.2">
      <c r="A1076" s="1"/>
    </row>
    <row r="1077" spans="1:1" ht="12.75" x14ac:dyDescent="0.2">
      <c r="A1077" s="1"/>
    </row>
    <row r="1078" spans="1:1" ht="12.75" x14ac:dyDescent="0.2">
      <c r="A1078" s="1"/>
    </row>
    <row r="1079" spans="1:1" ht="12.75" x14ac:dyDescent="0.2">
      <c r="A1079" s="1"/>
    </row>
    <row r="1080" spans="1:1" ht="12.75" x14ac:dyDescent="0.2">
      <c r="A1080" s="1"/>
    </row>
    <row r="1081" spans="1:1" ht="12.75" x14ac:dyDescent="0.2">
      <c r="A1081" s="1"/>
    </row>
    <row r="1082" spans="1:1" ht="12.75" x14ac:dyDescent="0.2">
      <c r="A1082" s="1"/>
    </row>
    <row r="1083" spans="1:1" ht="12.75" x14ac:dyDescent="0.2">
      <c r="A1083" s="1"/>
    </row>
    <row r="1084" spans="1:1" ht="12.75" x14ac:dyDescent="0.2">
      <c r="A1084" s="1"/>
    </row>
    <row r="1085" spans="1:1" ht="12.75" x14ac:dyDescent="0.2">
      <c r="A1085" s="1"/>
    </row>
    <row r="1086" spans="1:1" ht="12.75" x14ac:dyDescent="0.2">
      <c r="A1086" s="1"/>
    </row>
    <row r="1087" spans="1:1" ht="12.75" x14ac:dyDescent="0.2">
      <c r="A1087" s="1"/>
    </row>
    <row r="1088" spans="1:1" ht="12.75" x14ac:dyDescent="0.2">
      <c r="A1088" s="1"/>
    </row>
    <row r="1089" spans="1:1" ht="12.75" x14ac:dyDescent="0.2">
      <c r="A1089" s="1"/>
    </row>
    <row r="1090" spans="1:1" ht="12.75" x14ac:dyDescent="0.2">
      <c r="A1090" s="1"/>
    </row>
    <row r="1091" spans="1:1" ht="12.75" x14ac:dyDescent="0.2">
      <c r="A1091" s="1"/>
    </row>
    <row r="1092" spans="1:1" ht="12.75" x14ac:dyDescent="0.2">
      <c r="A1092" s="1"/>
    </row>
    <row r="1093" spans="1:1" ht="12.75" x14ac:dyDescent="0.2">
      <c r="A1093" s="1"/>
    </row>
    <row r="1094" spans="1:1" ht="12.75" x14ac:dyDescent="0.2">
      <c r="A1094" s="1"/>
    </row>
    <row r="1095" spans="1:1" ht="12.75" x14ac:dyDescent="0.2">
      <c r="A1095" s="1"/>
    </row>
    <row r="1096" spans="1:1" ht="12.75" x14ac:dyDescent="0.2">
      <c r="A1096" s="1"/>
    </row>
    <row r="1097" spans="1:1" ht="12.75" x14ac:dyDescent="0.2">
      <c r="A1097" s="1"/>
    </row>
    <row r="1098" spans="1:1" ht="12.75" x14ac:dyDescent="0.2">
      <c r="A1098" s="1"/>
    </row>
    <row r="1099" spans="1:1" ht="12.75" x14ac:dyDescent="0.2">
      <c r="A1099" s="1"/>
    </row>
    <row r="1100" spans="1:1" ht="12.75" x14ac:dyDescent="0.2">
      <c r="A1100" s="1"/>
    </row>
  </sheetData>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34"/>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14.42578125" defaultRowHeight="15.75" customHeight="1" x14ac:dyDescent="0.2"/>
  <cols>
    <col min="1" max="1" width="22.5703125" customWidth="1"/>
    <col min="2" max="2" width="6.28515625" customWidth="1"/>
  </cols>
  <sheetData>
    <row r="1" spans="1:29" ht="15.75" customHeight="1" x14ac:dyDescent="0.2">
      <c r="A1" s="6" t="s">
        <v>29</v>
      </c>
      <c r="B1" s="24"/>
      <c r="C1" s="24"/>
      <c r="D1" s="25"/>
      <c r="E1" s="25"/>
      <c r="F1" s="25"/>
      <c r="G1" s="25"/>
      <c r="H1" s="25"/>
      <c r="I1" s="25"/>
      <c r="J1" s="25"/>
      <c r="K1" s="25"/>
      <c r="L1" s="24"/>
      <c r="M1" s="25"/>
      <c r="N1" s="25"/>
      <c r="O1" s="25"/>
      <c r="P1" s="25"/>
      <c r="Q1" s="25"/>
      <c r="R1" s="25"/>
      <c r="S1" s="25"/>
      <c r="T1" s="25"/>
      <c r="U1" s="25"/>
      <c r="V1" s="25"/>
      <c r="W1" s="25"/>
      <c r="X1" s="25"/>
      <c r="Y1" s="25"/>
      <c r="Z1" s="25"/>
      <c r="AA1" s="25"/>
      <c r="AB1" s="25"/>
      <c r="AC1" s="25"/>
    </row>
    <row r="2" spans="1:29" ht="15.75" customHeight="1" x14ac:dyDescent="0.2">
      <c r="A2" s="26"/>
      <c r="B2" s="27"/>
      <c r="C2" s="28" t="s">
        <v>30</v>
      </c>
      <c r="D2" s="28" t="s">
        <v>31</v>
      </c>
      <c r="E2" s="28" t="s">
        <v>32</v>
      </c>
      <c r="F2" s="28" t="s">
        <v>33</v>
      </c>
      <c r="G2" s="28" t="s">
        <v>34</v>
      </c>
      <c r="H2" s="28" t="s">
        <v>35</v>
      </c>
      <c r="I2" s="28" t="s">
        <v>36</v>
      </c>
      <c r="J2" s="28" t="s">
        <v>37</v>
      </c>
      <c r="K2" s="28" t="s">
        <v>38</v>
      </c>
      <c r="L2" s="28" t="s">
        <v>39</v>
      </c>
      <c r="M2" s="27"/>
      <c r="N2" s="27"/>
      <c r="O2" s="27"/>
      <c r="P2" s="27"/>
      <c r="Q2" s="27"/>
      <c r="R2" s="27"/>
      <c r="S2" s="27"/>
      <c r="T2" s="27"/>
      <c r="U2" s="27"/>
      <c r="V2" s="27"/>
      <c r="W2" s="27"/>
      <c r="X2" s="27"/>
      <c r="Y2" s="27"/>
      <c r="Z2" s="27"/>
      <c r="AA2" s="27"/>
      <c r="AB2" s="27"/>
      <c r="AC2" s="27"/>
    </row>
    <row r="3" spans="1:29" x14ac:dyDescent="0.25">
      <c r="A3" s="29" t="s">
        <v>40</v>
      </c>
      <c r="B3" s="30"/>
      <c r="C3" s="31">
        <f>'GBD Estimates'!O72</f>
        <v>1.8210000000000001E-4</v>
      </c>
      <c r="D3" s="32">
        <f>'GBD Estimates'!O107</f>
        <v>4.9234999999999999E-3</v>
      </c>
      <c r="E3" s="32">
        <f>'GBD Estimates'!O56</f>
        <v>5.1056000000000001E-3</v>
      </c>
      <c r="F3" s="32">
        <f>'GBD Estimates'!O39</f>
        <v>5.7800000000000002E-5</v>
      </c>
      <c r="G3" s="33">
        <f>'GBD Estimates'!C107</f>
        <v>611571.49</v>
      </c>
      <c r="H3" s="33">
        <f>'GBD Estimates'!C39</f>
        <v>7173.5</v>
      </c>
      <c r="I3" s="34">
        <f t="shared" ref="I3:I9" si="0">G3/H3</f>
        <v>85.254267791175849</v>
      </c>
      <c r="J3" s="35">
        <f>I3*'National CEA estimate'!C67</f>
        <v>5.1925731629303681E-2</v>
      </c>
      <c r="K3" s="36">
        <f t="shared" ref="K3:K9" si="1">J3+C3</f>
        <v>5.2107831629303679E-2</v>
      </c>
      <c r="L3" s="35" t="s">
        <v>41</v>
      </c>
    </row>
    <row r="4" spans="1:29" ht="15.75" customHeight="1" x14ac:dyDescent="0.2">
      <c r="A4" s="35" t="s">
        <v>42</v>
      </c>
      <c r="C4" s="31">
        <f>'GBD Estimates'!O73</f>
        <v>8.7000000000000001E-9</v>
      </c>
      <c r="D4" s="32">
        <f>'GBD Estimates'!O108</f>
        <v>4.4100000000000001E-5</v>
      </c>
      <c r="E4" s="32">
        <f>'GBD Estimates'!O57</f>
        <v>4.4100000000000001E-5</v>
      </c>
      <c r="F4" s="32">
        <f>'GBD Estimates'!O40</f>
        <v>5.2E-7</v>
      </c>
      <c r="G4" s="33">
        <f>'GBD Estimates'!C108</f>
        <v>5480.54</v>
      </c>
      <c r="H4" s="33">
        <f>'GBD Estimates'!C40</f>
        <v>64.349999999999994</v>
      </c>
      <c r="I4" s="34">
        <f t="shared" si="0"/>
        <v>85.167676767676781</v>
      </c>
      <c r="J4" s="35">
        <f>I4*'National CEA estimate'!C68</f>
        <v>2.0644670567889365E-4</v>
      </c>
      <c r="K4" s="36">
        <f t="shared" si="1"/>
        <v>2.0645540567889366E-4</v>
      </c>
      <c r="L4" s="35" t="s">
        <v>43</v>
      </c>
    </row>
    <row r="5" spans="1:29" ht="15.75" customHeight="1" x14ac:dyDescent="0.2">
      <c r="A5" s="35" t="s">
        <v>44</v>
      </c>
      <c r="C5" s="31">
        <f>'GBD Estimates'!O74</f>
        <v>4.4000000000000002E-6</v>
      </c>
      <c r="D5" s="32">
        <f>'GBD Estimates'!O109</f>
        <v>5.8323000000000003E-3</v>
      </c>
      <c r="E5" s="32">
        <f>'GBD Estimates'!O58</f>
        <v>5.8367000000000002E-3</v>
      </c>
      <c r="F5" s="32">
        <f>'GBD Estimates'!O41</f>
        <v>6.7700000000000006E-5</v>
      </c>
      <c r="G5" s="33">
        <f>'GBD Estimates'!C109</f>
        <v>724458.74</v>
      </c>
      <c r="H5" s="33">
        <f>'GBD Estimates'!C41</f>
        <v>8406.76</v>
      </c>
      <c r="I5" s="34">
        <f t="shared" si="0"/>
        <v>86.175737144869132</v>
      </c>
      <c r="J5" s="35">
        <f>I5*'National CEA estimate'!C69</f>
        <v>2.8092237027855366E-2</v>
      </c>
      <c r="K5" s="36">
        <f t="shared" si="1"/>
        <v>2.8096637027855368E-2</v>
      </c>
      <c r="L5" s="35" t="s">
        <v>47</v>
      </c>
    </row>
    <row r="6" spans="1:29" x14ac:dyDescent="0.25">
      <c r="A6" s="29" t="s">
        <v>48</v>
      </c>
      <c r="B6" s="30"/>
      <c r="C6" s="31">
        <f>'GBD Estimates'!O75</f>
        <v>3.0599999999999998E-5</v>
      </c>
      <c r="D6" s="32">
        <f>'GBD Estimates'!O110</f>
        <v>1.0458E-2</v>
      </c>
      <c r="E6" s="32">
        <f>'GBD Estimates'!O59</f>
        <v>1.0488600000000001E-2</v>
      </c>
      <c r="F6" s="32">
        <f>'GBD Estimates'!O42</f>
        <v>1.2320000000000001E-4</v>
      </c>
      <c r="G6" s="33">
        <f>'GBD Estimates'!C110</f>
        <v>1299049.56</v>
      </c>
      <c r="H6" s="33">
        <f>'GBD Estimates'!C42</f>
        <v>15297.53</v>
      </c>
      <c r="I6" s="34">
        <f t="shared" si="0"/>
        <v>84.918909131081946</v>
      </c>
      <c r="J6" s="35">
        <f>I6*'National CEA estimate'!C70</f>
        <v>9.6718816149391443E-2</v>
      </c>
      <c r="K6" s="36">
        <f t="shared" si="1"/>
        <v>9.6749416149391448E-2</v>
      </c>
      <c r="L6" s="35" t="s">
        <v>51</v>
      </c>
    </row>
    <row r="7" spans="1:29" ht="15.75" customHeight="1" x14ac:dyDescent="0.2">
      <c r="A7" s="35" t="s">
        <v>52</v>
      </c>
      <c r="C7" s="31">
        <f>'GBD Estimates'!O76</f>
        <v>8.6700000000000007E-5</v>
      </c>
      <c r="D7" s="32">
        <f>'GBD Estimates'!O111</f>
        <v>1.4444E-2</v>
      </c>
      <c r="E7" s="32">
        <f>'GBD Estimates'!O60</f>
        <v>1.4530599999999999E-2</v>
      </c>
      <c r="F7" s="32">
        <f>'GBD Estimates'!O43</f>
        <v>1.6899999999999999E-4</v>
      </c>
      <c r="G7" s="33">
        <f>'GBD Estimates'!C111</f>
        <v>1794169.26</v>
      </c>
      <c r="H7" s="33">
        <f>'GBD Estimates'!C43</f>
        <v>20987.11</v>
      </c>
      <c r="I7" s="34">
        <f t="shared" si="0"/>
        <v>85.489105455682079</v>
      </c>
      <c r="J7" s="35">
        <f>I7*'National CEA estimate'!C71</f>
        <v>2.6086594547356415E-2</v>
      </c>
      <c r="K7" s="36">
        <f t="shared" si="1"/>
        <v>2.6173294547356413E-2</v>
      </c>
      <c r="L7" s="35" t="s">
        <v>54</v>
      </c>
    </row>
    <row r="8" spans="1:29" ht="15.75" customHeight="1" x14ac:dyDescent="0.2">
      <c r="A8" s="35" t="s">
        <v>55</v>
      </c>
      <c r="C8" s="31">
        <f>'GBD Estimates'!O77</f>
        <v>5.41E-5</v>
      </c>
      <c r="D8" s="32">
        <f>'GBD Estimates'!O112</f>
        <v>6.8789999999999997E-3</v>
      </c>
      <c r="E8" s="32">
        <f>'GBD Estimates'!O61</f>
        <v>6.9329999999999999E-3</v>
      </c>
      <c r="F8" s="32">
        <f>'GBD Estimates'!O44</f>
        <v>8.0500000000000005E-5</v>
      </c>
      <c r="G8" s="33">
        <f>'GBD Estimates'!C112</f>
        <v>854477.97</v>
      </c>
      <c r="H8" s="33">
        <f>'GBD Estimates'!C44</f>
        <v>9993.3700000000008</v>
      </c>
      <c r="I8" s="34">
        <f t="shared" si="0"/>
        <v>85.504486474532612</v>
      </c>
      <c r="J8" s="35">
        <f>I8*'National CEA estimate'!C72</f>
        <v>1.242381131479099E-2</v>
      </c>
      <c r="K8" s="36">
        <f t="shared" si="1"/>
        <v>1.247791131479099E-2</v>
      </c>
      <c r="L8" s="35" t="s">
        <v>60</v>
      </c>
    </row>
    <row r="9" spans="1:29" ht="15.75" customHeight="1" x14ac:dyDescent="0.2">
      <c r="A9" s="35" t="s">
        <v>62</v>
      </c>
      <c r="C9" s="31">
        <f>'GBD Estimates'!O78</f>
        <v>3.1999999999999999E-6</v>
      </c>
      <c r="D9" s="32">
        <f>'GBD Estimates'!O113</f>
        <v>2.23E-4</v>
      </c>
      <c r="E9" s="32">
        <f>'GBD Estimates'!O62</f>
        <v>2.262E-4</v>
      </c>
      <c r="F9" s="32">
        <f>'GBD Estimates'!O45</f>
        <v>2.6000000000000001E-6</v>
      </c>
      <c r="G9" s="33">
        <f>'GBD Estimates'!C113</f>
        <v>27695.7</v>
      </c>
      <c r="H9" s="33">
        <f>'GBD Estimates'!C45</f>
        <v>325.08</v>
      </c>
      <c r="I9" s="34">
        <f t="shared" si="0"/>
        <v>85.196566998892592</v>
      </c>
      <c r="J9" s="35">
        <f>I9*'National CEA estimate'!C73</f>
        <v>1.8339896741183606E-3</v>
      </c>
      <c r="K9" s="36">
        <f t="shared" si="1"/>
        <v>1.8371896741183607E-3</v>
      </c>
      <c r="L9" s="58" t="s">
        <v>68</v>
      </c>
    </row>
    <row r="10" spans="1:29" ht="15.75" customHeight="1" x14ac:dyDescent="0.2">
      <c r="A10" s="29" t="s">
        <v>70</v>
      </c>
      <c r="B10" s="60"/>
      <c r="C10" s="31">
        <f>'GBD Estimates'!O79</f>
        <v>0</v>
      </c>
      <c r="D10" s="32">
        <f>'GBD Estimates'!O114</f>
        <v>0</v>
      </c>
      <c r="E10" s="32">
        <f>'GBD Estimates'!O63</f>
        <v>0</v>
      </c>
      <c r="F10" s="32">
        <f>'GBD Estimates'!O46</f>
        <v>0</v>
      </c>
      <c r="G10" s="33">
        <f>'GBD Estimates'!C114</f>
        <v>0</v>
      </c>
      <c r="H10" s="33">
        <f>'GBD Estimates'!C46</f>
        <v>0</v>
      </c>
      <c r="I10" s="34"/>
      <c r="J10" s="35"/>
      <c r="K10" s="35"/>
      <c r="L10" s="35"/>
    </row>
    <row r="11" spans="1:29" ht="15.75" customHeight="1" x14ac:dyDescent="0.2">
      <c r="A11" s="35" t="s">
        <v>88</v>
      </c>
      <c r="C11" s="31">
        <f>'GBD Estimates'!O80</f>
        <v>9.0740000000000005E-4</v>
      </c>
      <c r="D11" s="32">
        <f>'GBD Estimates'!O115</f>
        <v>1.4711399999999999E-2</v>
      </c>
      <c r="E11" s="32">
        <f>'GBD Estimates'!O64</f>
        <v>1.56118E-2</v>
      </c>
      <c r="F11" s="32">
        <f>'GBD Estimates'!O47</f>
        <v>1.719E-4</v>
      </c>
      <c r="G11" s="33">
        <f>'GBD Estimates'!C115</f>
        <v>1827384.73</v>
      </c>
      <c r="H11" s="33">
        <f>'GBD Estimates'!C47</f>
        <v>21357.63</v>
      </c>
      <c r="I11" s="34">
        <f t="shared" ref="I11:I14" si="2">G11/H11</f>
        <v>85.56121301848566</v>
      </c>
      <c r="J11" s="35">
        <f>I11*'National CEA estimate'!C75</f>
        <v>1.4707972517877685E-2</v>
      </c>
      <c r="K11" s="36">
        <f t="shared" ref="K11:K15" si="3">J11+C11</f>
        <v>1.5615372517877684E-2</v>
      </c>
      <c r="L11" s="66" t="s">
        <v>90</v>
      </c>
    </row>
    <row r="12" spans="1:29" ht="15.75" customHeight="1" x14ac:dyDescent="0.2">
      <c r="A12" s="35" t="s">
        <v>91</v>
      </c>
      <c r="C12" s="31">
        <f>'GBD Estimates'!O81</f>
        <v>3.3750000000000002E-4</v>
      </c>
      <c r="D12" s="32">
        <f>'GBD Estimates'!O116</f>
        <v>5.6750299999999997E-2</v>
      </c>
      <c r="E12" s="32">
        <f>'GBD Estimates'!O65</f>
        <v>5.7087800000000001E-2</v>
      </c>
      <c r="F12" s="32">
        <f>'GBD Estimates'!O48</f>
        <v>6.6379999999999998E-4</v>
      </c>
      <c r="G12" s="33">
        <f>'GBD Estimates'!C116</f>
        <v>7049288.9699999997</v>
      </c>
      <c r="H12" s="33">
        <f>'GBD Estimates'!C48</f>
        <v>82448.44</v>
      </c>
      <c r="I12" s="34">
        <f t="shared" si="2"/>
        <v>85.499361419088089</v>
      </c>
      <c r="J12" s="35">
        <f>I12*'National CEA estimate'!C76</f>
        <v>5.6754476109990674E-2</v>
      </c>
      <c r="K12" s="36">
        <f t="shared" si="3"/>
        <v>5.7091976109990672E-2</v>
      </c>
      <c r="L12" s="58" t="s">
        <v>92</v>
      </c>
    </row>
    <row r="13" spans="1:29" ht="15.75" customHeight="1" x14ac:dyDescent="0.2">
      <c r="A13" s="35" t="s">
        <v>93</v>
      </c>
      <c r="C13" s="31">
        <f>'GBD Estimates'!O82</f>
        <v>7.9699999999999999E-5</v>
      </c>
      <c r="D13" s="32">
        <f>'GBD Estimates'!O117</f>
        <v>4.1286999999999999E-3</v>
      </c>
      <c r="E13" s="32">
        <f>'GBD Estimates'!O66</f>
        <v>4.2084000000000002E-3</v>
      </c>
      <c r="F13" s="32">
        <f>'GBD Estimates'!O49</f>
        <v>4.8300000000000002E-5</v>
      </c>
      <c r="G13" s="33">
        <f>'GBD Estimates'!C117</f>
        <v>512845.14</v>
      </c>
      <c r="H13" s="33">
        <f>'GBD Estimates'!C49</f>
        <v>6004.24</v>
      </c>
      <c r="I13" s="34">
        <f t="shared" si="2"/>
        <v>85.413830892835733</v>
      </c>
      <c r="J13" s="35">
        <f>I13*'National CEA estimate'!C77</f>
        <v>4.1254880321239659E-3</v>
      </c>
      <c r="K13" s="36">
        <f t="shared" si="3"/>
        <v>4.2051880321239661E-3</v>
      </c>
      <c r="L13" s="58" t="s">
        <v>94</v>
      </c>
    </row>
    <row r="14" spans="1:29" ht="15.75" customHeight="1" x14ac:dyDescent="0.2">
      <c r="A14" s="35" t="s">
        <v>95</v>
      </c>
      <c r="C14" s="31">
        <f>'GBD Estimates'!O83</f>
        <v>1.7149999999999999E-4</v>
      </c>
      <c r="D14" s="32">
        <f>'GBD Estimates'!O118</f>
        <v>1.3466199999999999E-2</v>
      </c>
      <c r="E14" s="32">
        <f>'GBD Estimates'!O67</f>
        <v>1.36378E-2</v>
      </c>
      <c r="F14" s="32">
        <f>'GBD Estimates'!O50</f>
        <v>1.5890000000000001E-4</v>
      </c>
      <c r="G14" s="33">
        <f>'GBD Estimates'!C118</f>
        <v>1672717.79</v>
      </c>
      <c r="H14" s="33">
        <f>'GBD Estimates'!C50</f>
        <v>19739.78</v>
      </c>
      <c r="I14" s="34">
        <f t="shared" si="2"/>
        <v>84.73842109689167</v>
      </c>
      <c r="J14" s="35">
        <f>I14*'National CEA estimate'!C78</f>
        <v>1.3464935112296088E-2</v>
      </c>
      <c r="K14" s="36">
        <f t="shared" si="3"/>
        <v>1.3636435112296088E-2</v>
      </c>
      <c r="L14" s="58" t="s">
        <v>97</v>
      </c>
    </row>
    <row r="15" spans="1:29" ht="15.75" customHeight="1" x14ac:dyDescent="0.2">
      <c r="A15" s="35" t="s">
        <v>98</v>
      </c>
      <c r="C15" s="31">
        <f>'GBD Estimates'!O84</f>
        <v>6.3600000000000001E-5</v>
      </c>
      <c r="D15" s="32">
        <f>'GBD Estimates'!O119</f>
        <v>0</v>
      </c>
      <c r="E15" s="32">
        <f>'GBD Estimates'!O68</f>
        <v>6.3600000000000001E-5</v>
      </c>
      <c r="F15" s="32">
        <f>'GBD Estimates'!O51</f>
        <v>0</v>
      </c>
      <c r="G15" s="33">
        <f>'GBD Estimates'!C119</f>
        <v>0</v>
      </c>
      <c r="H15" s="33">
        <f>'GBD Estimates'!C51</f>
        <v>0</v>
      </c>
      <c r="I15" s="34"/>
      <c r="J15" s="35">
        <f>I15*'National CEA estimate'!C79</f>
        <v>0</v>
      </c>
      <c r="K15" s="36">
        <f t="shared" si="3"/>
        <v>6.3600000000000001E-5</v>
      </c>
      <c r="L15" s="58" t="s">
        <v>99</v>
      </c>
    </row>
    <row r="16" spans="1:29" ht="15.75" customHeight="1" x14ac:dyDescent="0.2">
      <c r="A16" s="29" t="s">
        <v>100</v>
      </c>
      <c r="B16" s="74"/>
      <c r="C16" s="31">
        <f t="shared" ref="C16:K16" si="4">AVERAGE(C3:C9,C11:C15)</f>
        <v>1.6006739166666669E-4</v>
      </c>
      <c r="D16" s="75">
        <f t="shared" si="4"/>
        <v>1.0988375E-2</v>
      </c>
      <c r="E16" s="75">
        <f t="shared" si="4"/>
        <v>1.1147850000000001E-2</v>
      </c>
      <c r="F16" s="75">
        <f t="shared" si="4"/>
        <v>1.2868499999999999E-4</v>
      </c>
      <c r="G16" s="76">
        <f t="shared" si="4"/>
        <v>1364928.3241666667</v>
      </c>
      <c r="H16" s="76">
        <f t="shared" si="4"/>
        <v>15983.149166666668</v>
      </c>
      <c r="I16" s="62">
        <f t="shared" si="4"/>
        <v>85.356325108292012</v>
      </c>
      <c r="J16" s="62">
        <f t="shared" si="4"/>
        <v>2.5528374901731963E-2</v>
      </c>
      <c r="K16" s="31">
        <f t="shared" si="4"/>
        <v>2.5688442293398627E-2</v>
      </c>
      <c r="L16" s="34"/>
    </row>
    <row r="17" spans="1:29" ht="15.75" customHeight="1" x14ac:dyDescent="0.2">
      <c r="A17" s="35" t="s">
        <v>103</v>
      </c>
      <c r="C17" s="77">
        <f t="shared" ref="C17:K17" si="5">SUM(C3:C15)</f>
        <v>1.9208087000000002E-3</v>
      </c>
      <c r="D17" s="79">
        <f t="shared" si="5"/>
        <v>0.13186049999999999</v>
      </c>
      <c r="E17" s="79">
        <f t="shared" si="5"/>
        <v>0.13377420000000001</v>
      </c>
      <c r="F17" s="79">
        <f t="shared" si="5"/>
        <v>1.54422E-3</v>
      </c>
      <c r="G17" s="81">
        <f t="shared" si="5"/>
        <v>16379139.890000001</v>
      </c>
      <c r="H17" s="81">
        <f t="shared" si="5"/>
        <v>191797.79</v>
      </c>
      <c r="I17" s="34">
        <f t="shared" si="5"/>
        <v>938.91957619121217</v>
      </c>
      <c r="J17" s="34">
        <f t="shared" si="5"/>
        <v>0.30634049882078357</v>
      </c>
      <c r="K17" s="77">
        <f t="shared" si="5"/>
        <v>0.30826130752078351</v>
      </c>
      <c r="L17" s="34"/>
    </row>
    <row r="19" spans="1:29" ht="15.75" customHeight="1" x14ac:dyDescent="0.2">
      <c r="A19" s="26" t="s">
        <v>105</v>
      </c>
      <c r="B19" s="27"/>
      <c r="C19" s="26"/>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row>
    <row r="20" spans="1:29" ht="15.75" customHeight="1" x14ac:dyDescent="0.2">
      <c r="A20" s="84" t="s">
        <v>106</v>
      </c>
      <c r="B20" s="85"/>
      <c r="C20" s="86"/>
      <c r="D20" s="85"/>
      <c r="E20" s="86"/>
      <c r="F20" s="85"/>
      <c r="G20" s="87">
        <f t="shared" ref="G20:H20" si="6">SUM((0.48*G21),(0.52*G22))</f>
        <v>10445864.9396</v>
      </c>
      <c r="H20" s="87">
        <f t="shared" si="6"/>
        <v>121926.04</v>
      </c>
      <c r="J20" s="85"/>
      <c r="K20" s="85"/>
      <c r="L20" s="86"/>
      <c r="M20" s="85"/>
      <c r="N20" s="85"/>
      <c r="O20" s="85"/>
      <c r="P20" s="85"/>
      <c r="Q20" s="85"/>
      <c r="R20" s="85"/>
      <c r="S20" s="85"/>
      <c r="T20" s="85"/>
      <c r="U20" s="85"/>
      <c r="V20" s="85"/>
      <c r="W20" s="85"/>
      <c r="X20" s="85"/>
      <c r="Y20" s="85"/>
      <c r="Z20" s="85"/>
      <c r="AA20" s="85"/>
      <c r="AB20" s="85"/>
      <c r="AC20" s="85"/>
    </row>
    <row r="21" spans="1:29" ht="15.75" customHeight="1" x14ac:dyDescent="0.2">
      <c r="A21" s="29" t="s">
        <v>108</v>
      </c>
      <c r="C21" s="4"/>
      <c r="G21" s="88">
        <v>12053627.470000001</v>
      </c>
      <c r="H21" s="88">
        <v>140649.29</v>
      </c>
      <c r="I21">
        <f t="shared" ref="I21:I22" si="7">G21/H21</f>
        <v>85.699881385821428</v>
      </c>
    </row>
    <row r="22" spans="1:29" ht="15.75" customHeight="1" x14ac:dyDescent="0.2">
      <c r="A22" s="89" t="s">
        <v>109</v>
      </c>
      <c r="C22" s="90"/>
      <c r="G22" s="88">
        <v>8961776.4499999993</v>
      </c>
      <c r="H22" s="88">
        <v>104643.04</v>
      </c>
      <c r="I22">
        <f t="shared" si="7"/>
        <v>85.641400039601294</v>
      </c>
    </row>
    <row r="23" spans="1:29" x14ac:dyDescent="0.25">
      <c r="A23" s="91"/>
      <c r="C23" s="90"/>
    </row>
    <row r="24" spans="1:29" ht="15.75" customHeight="1" x14ac:dyDescent="0.2">
      <c r="A24" s="4"/>
      <c r="C24" s="90"/>
    </row>
    <row r="25" spans="1:29" ht="15.75" customHeight="1" x14ac:dyDescent="0.2">
      <c r="A25" s="4"/>
      <c r="C25" s="90"/>
    </row>
    <row r="26" spans="1:29" ht="15.75" customHeight="1" x14ac:dyDescent="0.2">
      <c r="A26" s="4"/>
      <c r="C26" s="90"/>
    </row>
    <row r="27" spans="1:29" ht="15.75" customHeight="1" x14ac:dyDescent="0.2">
      <c r="A27" s="29"/>
      <c r="C27" s="90"/>
    </row>
    <row r="28" spans="1:29" ht="15.75" customHeight="1" x14ac:dyDescent="0.2">
      <c r="A28" s="4"/>
      <c r="C28" s="90"/>
    </row>
    <row r="29" spans="1:29" ht="15.75" customHeight="1" x14ac:dyDescent="0.2">
      <c r="A29" s="4"/>
      <c r="C29" s="90"/>
    </row>
    <row r="30" spans="1:29" ht="15.75" customHeight="1" x14ac:dyDescent="0.2">
      <c r="A30" s="4"/>
      <c r="C30" s="90"/>
    </row>
    <row r="31" spans="1:29" ht="15.75" customHeight="1" x14ac:dyDescent="0.2">
      <c r="A31" s="4"/>
      <c r="C31" s="90"/>
    </row>
    <row r="32" spans="1:29" ht="15.75" customHeight="1" x14ac:dyDescent="0.2">
      <c r="A32" s="4"/>
      <c r="C32" s="92"/>
    </row>
    <row r="33" spans="1:1" ht="12.75" x14ac:dyDescent="0.2">
      <c r="A33" s="29"/>
    </row>
    <row r="34" spans="1:1" ht="12.75" x14ac:dyDescent="0.2">
      <c r="A34" s="4"/>
    </row>
  </sheetData>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F115"/>
  <sheetViews>
    <sheetView workbookViewId="0">
      <pane xSplit="1" topLeftCell="B1" activePane="topRight" state="frozen"/>
      <selection pane="topRight" activeCell="C2" sqref="C2"/>
    </sheetView>
  </sheetViews>
  <sheetFormatPr defaultColWidth="14.42578125" defaultRowHeight="15.75" customHeight="1" x14ac:dyDescent="0.2"/>
  <sheetData>
    <row r="2" spans="1:32" ht="15.75" customHeight="1" x14ac:dyDescent="0.2">
      <c r="A2" s="12" t="s">
        <v>116</v>
      </c>
      <c r="B2" s="24"/>
      <c r="C2" s="99"/>
      <c r="D2" s="99"/>
      <c r="E2" s="99"/>
      <c r="F2" s="99"/>
      <c r="G2" s="99"/>
      <c r="H2" s="99"/>
      <c r="I2" s="99"/>
      <c r="J2" s="99"/>
      <c r="K2" s="99"/>
      <c r="L2" s="99"/>
      <c r="M2" s="99"/>
      <c r="N2" s="85"/>
      <c r="O2" s="85"/>
      <c r="P2" s="85"/>
      <c r="Q2" s="85"/>
      <c r="R2" s="85"/>
      <c r="S2" s="85"/>
      <c r="T2" s="85"/>
      <c r="U2" s="85"/>
      <c r="V2" s="85"/>
      <c r="W2" s="85"/>
      <c r="X2" s="85"/>
      <c r="Y2" s="85"/>
      <c r="Z2" s="85"/>
      <c r="AA2" s="85"/>
      <c r="AB2" s="85"/>
      <c r="AC2" s="85"/>
      <c r="AD2" s="85"/>
      <c r="AE2" s="85"/>
      <c r="AF2" s="85"/>
    </row>
    <row r="3" spans="1:32" ht="15.75" customHeight="1" x14ac:dyDescent="0.2">
      <c r="A3" s="101" t="s">
        <v>119</v>
      </c>
      <c r="B3" s="26" t="s">
        <v>120</v>
      </c>
      <c r="C3" s="26" t="s">
        <v>121</v>
      </c>
      <c r="D3" s="102"/>
      <c r="E3" s="103"/>
      <c r="F3" s="85"/>
      <c r="G3" s="85"/>
      <c r="H3" s="85"/>
      <c r="I3" s="85"/>
      <c r="J3" s="85"/>
      <c r="K3" s="85"/>
      <c r="L3" s="85"/>
      <c r="M3" s="85"/>
      <c r="N3" s="85"/>
      <c r="O3" s="85"/>
      <c r="P3" s="85"/>
      <c r="Q3" s="85"/>
      <c r="R3" s="85"/>
      <c r="S3" s="85"/>
      <c r="T3" s="85"/>
      <c r="U3" s="85"/>
      <c r="V3" s="85"/>
      <c r="W3" s="85"/>
      <c r="X3" s="85"/>
      <c r="Y3" s="85"/>
      <c r="Z3" s="85"/>
      <c r="AA3" s="85"/>
      <c r="AB3" s="85"/>
      <c r="AC3" s="85"/>
      <c r="AD3" s="85"/>
      <c r="AE3" s="85"/>
      <c r="AF3" s="85"/>
    </row>
    <row r="4" spans="1:32" ht="15.75" customHeight="1" x14ac:dyDescent="0.2">
      <c r="A4" s="92" t="s">
        <v>123</v>
      </c>
      <c r="B4" s="87">
        <f>'GBD Estimates'!C21</f>
        <v>2858657.7578734863</v>
      </c>
      <c r="C4" s="106">
        <f>(((6-0)/52.1492)/85.5)</f>
        <v>1.3456666371965673E-3</v>
      </c>
      <c r="D4" s="92"/>
      <c r="E4" s="92"/>
      <c r="F4" s="92"/>
      <c r="G4" s="92"/>
      <c r="H4" s="92"/>
      <c r="I4" s="92"/>
      <c r="J4" s="92"/>
    </row>
    <row r="5" spans="1:32" ht="15.75" customHeight="1" x14ac:dyDescent="0.2">
      <c r="A5" s="92" t="s">
        <v>128</v>
      </c>
      <c r="B5" s="87">
        <f>'GBD Estimates'!C22</f>
        <v>1905771.8385823241</v>
      </c>
      <c r="C5" s="106">
        <f>(((10-6)/52.1492)/85.5)</f>
        <v>8.9711109146437809E-4</v>
      </c>
      <c r="D5" s="92"/>
      <c r="E5" s="92"/>
      <c r="F5" s="92"/>
      <c r="G5" s="92"/>
      <c r="H5" s="92"/>
      <c r="I5" s="92"/>
      <c r="J5" s="92"/>
    </row>
    <row r="6" spans="1:32" ht="15.75" customHeight="1" x14ac:dyDescent="0.2">
      <c r="A6" s="92" t="s">
        <v>129</v>
      </c>
      <c r="B6" s="87">
        <f>'GBD Estimates'!C23</f>
        <v>1905771.8385823241</v>
      </c>
      <c r="C6" s="106">
        <f>(((14-10)/52.1492)/85.5)</f>
        <v>8.9711109146437809E-4</v>
      </c>
      <c r="D6" s="92"/>
      <c r="E6" s="92"/>
      <c r="F6" s="92"/>
      <c r="G6" s="92"/>
      <c r="H6" s="92"/>
      <c r="I6" s="92"/>
      <c r="J6" s="92"/>
    </row>
    <row r="7" spans="1:32" ht="15.75" customHeight="1" x14ac:dyDescent="0.2">
      <c r="A7" s="92" t="s">
        <v>130</v>
      </c>
      <c r="B7" s="87">
        <f>'GBD Estimates'!C24</f>
        <v>11962121.451101553</v>
      </c>
      <c r="C7" s="106">
        <f>(((39.1072-14)/52.1492)/85.5)</f>
        <v>5.6309868989036088E-3</v>
      </c>
      <c r="D7" s="92"/>
      <c r="E7" s="92"/>
      <c r="F7" s="92"/>
      <c r="G7" s="92"/>
      <c r="H7" s="92"/>
      <c r="I7" s="92"/>
      <c r="J7" s="92"/>
    </row>
    <row r="8" spans="1:32" ht="15.75" customHeight="1" x14ac:dyDescent="0.2">
      <c r="A8" s="92" t="s">
        <v>131</v>
      </c>
      <c r="B8" s="87">
        <f>'GBD Estimates'!C25</f>
        <v>12421548.590759791</v>
      </c>
      <c r="C8" s="106">
        <f>(((15-9)/12)/85.5)</f>
        <v>5.8479532163742687E-3</v>
      </c>
      <c r="D8" s="92"/>
      <c r="E8" s="92"/>
      <c r="F8" s="92"/>
      <c r="G8" s="92"/>
      <c r="H8" s="92"/>
      <c r="I8" s="92"/>
      <c r="J8" s="92"/>
    </row>
    <row r="9" spans="1:32" ht="15.75" customHeight="1" x14ac:dyDescent="0.2">
      <c r="A9" s="92" t="s">
        <v>132</v>
      </c>
      <c r="B9" s="87">
        <f>'GBD Estimates'!C26</f>
        <v>6210842.3586598439</v>
      </c>
      <c r="C9" s="106">
        <f>(((18-15)/12)/85.5)</f>
        <v>2.9239766081871343E-3</v>
      </c>
      <c r="D9" s="92"/>
      <c r="E9" s="92"/>
      <c r="F9" s="92"/>
      <c r="G9" s="92"/>
      <c r="H9" s="92"/>
      <c r="I9" s="92"/>
      <c r="J9" s="92"/>
    </row>
    <row r="10" spans="1:32" ht="15.75" customHeight="1" x14ac:dyDescent="0.2">
      <c r="A10" s="92" t="s">
        <v>133</v>
      </c>
      <c r="B10" s="87">
        <f>'GBD Estimates'!C27</f>
        <v>12421548.590759791</v>
      </c>
      <c r="C10" s="106">
        <f>(((24-18)/12)/85.5)</f>
        <v>5.8479532163742687E-3</v>
      </c>
    </row>
    <row r="11" spans="1:32" ht="15.75" customHeight="1" x14ac:dyDescent="0.2">
      <c r="A11" s="92" t="s">
        <v>134</v>
      </c>
      <c r="B11" s="87">
        <f>'GBD Estimates'!C28</f>
        <v>74529223.481278807</v>
      </c>
      <c r="C11" s="106">
        <f>(((60-24)/12)/85.5)</f>
        <v>3.5087719298245612E-2</v>
      </c>
    </row>
    <row r="12" spans="1:32" ht="15.75" customHeight="1" x14ac:dyDescent="0.2">
      <c r="A12" s="92" t="s">
        <v>135</v>
      </c>
      <c r="B12" s="87">
        <f>'GBD Estimates'!C30</f>
        <v>253795974.49182943</v>
      </c>
      <c r="C12" s="106">
        <f>(15-5)/85.5</f>
        <v>0.11695906432748537</v>
      </c>
      <c r="D12" s="4"/>
    </row>
    <row r="13" spans="1:32" ht="15.75" customHeight="1" x14ac:dyDescent="0.2">
      <c r="A13" s="92" t="s">
        <v>136</v>
      </c>
      <c r="B13" s="87">
        <f>'GBD Estimates'!C31</f>
        <v>702008399.68014467</v>
      </c>
      <c r="C13" s="106">
        <f>(50-15)/85.5</f>
        <v>0.40935672514619881</v>
      </c>
    </row>
    <row r="14" spans="1:32" ht="15.75" customHeight="1" x14ac:dyDescent="0.2">
      <c r="A14" s="92" t="s">
        <v>137</v>
      </c>
      <c r="B14" s="87">
        <f>'GBD Estimates'!C32</f>
        <v>187034120.04369521</v>
      </c>
      <c r="C14" s="106">
        <f>(70-50)/85.5</f>
        <v>0.23391812865497075</v>
      </c>
    </row>
    <row r="15" spans="1:32" ht="15.75" customHeight="1" x14ac:dyDescent="0.2">
      <c r="A15" s="92" t="s">
        <v>138</v>
      </c>
      <c r="B15" s="87">
        <f>'GBD Estimates'!C33</f>
        <v>44591513.345568866</v>
      </c>
      <c r="C15" s="106">
        <f>(85.5-70)/85.5</f>
        <v>0.18128654970760233</v>
      </c>
    </row>
    <row r="16" spans="1:32" ht="15.75" customHeight="1" x14ac:dyDescent="0.2">
      <c r="A16" s="92" t="s">
        <v>103</v>
      </c>
      <c r="B16" s="87">
        <f>'GBD Estimates'!C34</f>
        <v>1311636774.868042</v>
      </c>
      <c r="C16" s="106">
        <f>SUM(C4:C15)</f>
        <v>0.99999894589446758</v>
      </c>
    </row>
    <row r="17" spans="1:32" ht="15.75" customHeight="1" x14ac:dyDescent="0.2">
      <c r="A17" s="4"/>
    </row>
    <row r="18" spans="1:32" ht="15.75" customHeight="1" x14ac:dyDescent="0.2">
      <c r="A18" s="4"/>
      <c r="B18" s="108"/>
      <c r="C18" s="108"/>
      <c r="D18" s="108"/>
      <c r="E18" s="108"/>
      <c r="F18" s="108"/>
      <c r="G18" s="108"/>
    </row>
    <row r="19" spans="1:32" ht="15.75" customHeight="1" x14ac:dyDescent="0.2">
      <c r="A19" s="109" t="s">
        <v>42</v>
      </c>
      <c r="B19" s="109"/>
      <c r="C19" s="110"/>
      <c r="D19" s="110"/>
      <c r="E19" s="110"/>
      <c r="F19" s="110"/>
      <c r="G19" s="110"/>
      <c r="H19" s="110"/>
      <c r="I19" s="110"/>
      <c r="J19" s="110"/>
      <c r="K19" s="110"/>
      <c r="L19" s="110"/>
      <c r="M19" s="110"/>
      <c r="N19" s="110"/>
      <c r="O19" s="110"/>
      <c r="P19" s="110"/>
      <c r="Q19" s="110"/>
      <c r="R19" s="110"/>
      <c r="S19" s="110"/>
      <c r="T19" s="110"/>
    </row>
    <row r="20" spans="1:32" ht="15.75" customHeight="1" x14ac:dyDescent="0.2">
      <c r="A20" s="25"/>
      <c r="B20" s="112" t="s">
        <v>140</v>
      </c>
      <c r="C20" s="113">
        <f>'GBD Estimates'!R4</f>
        <v>140.47</v>
      </c>
      <c r="D20" s="113"/>
      <c r="E20" s="113"/>
      <c r="F20" s="113"/>
      <c r="G20" s="114"/>
      <c r="H20" s="114"/>
      <c r="I20" s="114"/>
      <c r="J20" s="114"/>
      <c r="K20" s="114"/>
      <c r="L20" s="114"/>
      <c r="M20" s="114"/>
      <c r="N20" s="115" t="s">
        <v>141</v>
      </c>
      <c r="O20" s="115"/>
      <c r="P20" s="115"/>
      <c r="Q20" s="114"/>
      <c r="R20" s="114"/>
      <c r="S20" s="114"/>
      <c r="T20" s="114"/>
    </row>
    <row r="21" spans="1:32" ht="15.75" customHeight="1" x14ac:dyDescent="0.2">
      <c r="A21" s="116" t="s">
        <v>119</v>
      </c>
      <c r="B21" s="117" t="s">
        <v>142</v>
      </c>
      <c r="C21" s="118" t="s">
        <v>143</v>
      </c>
      <c r="D21" s="118" t="s">
        <v>144</v>
      </c>
      <c r="E21" s="118" t="s">
        <v>145</v>
      </c>
      <c r="F21" s="118" t="s">
        <v>146</v>
      </c>
      <c r="G21" s="117" t="s">
        <v>147</v>
      </c>
      <c r="H21" s="115" t="s">
        <v>148</v>
      </c>
      <c r="I21" s="115" t="s">
        <v>149</v>
      </c>
      <c r="J21" s="115" t="s">
        <v>150</v>
      </c>
      <c r="K21" s="119" t="s">
        <v>151</v>
      </c>
      <c r="L21" s="115" t="s">
        <v>152</v>
      </c>
      <c r="M21" s="119" t="s">
        <v>153</v>
      </c>
      <c r="N21" s="12" t="s">
        <v>154</v>
      </c>
      <c r="O21" s="12" t="s">
        <v>155</v>
      </c>
      <c r="P21" s="12" t="s">
        <v>156</v>
      </c>
      <c r="Q21" s="115" t="s">
        <v>157</v>
      </c>
      <c r="R21" s="115" t="s">
        <v>158</v>
      </c>
      <c r="S21" s="115" t="s">
        <v>159</v>
      </c>
      <c r="T21" s="115" t="s">
        <v>160</v>
      </c>
    </row>
    <row r="22" spans="1:32" ht="15.75" customHeight="1" x14ac:dyDescent="0.2">
      <c r="A22" s="116"/>
      <c r="B22" s="119" t="s">
        <v>161</v>
      </c>
      <c r="C22" s="119" t="s">
        <v>162</v>
      </c>
      <c r="D22" s="115"/>
      <c r="E22" s="115"/>
      <c r="F22" s="115"/>
      <c r="G22" s="119" t="s">
        <v>163</v>
      </c>
      <c r="H22" s="119" t="s">
        <v>164</v>
      </c>
      <c r="I22" s="115"/>
      <c r="J22" s="119" t="s">
        <v>165</v>
      </c>
      <c r="K22" s="119" t="s">
        <v>166</v>
      </c>
      <c r="L22" s="120" t="s">
        <v>167</v>
      </c>
      <c r="M22" s="119" t="s">
        <v>168</v>
      </c>
      <c r="N22" s="115"/>
      <c r="O22" s="115"/>
      <c r="P22" s="115"/>
      <c r="Q22" s="119" t="s">
        <v>169</v>
      </c>
      <c r="R22" s="115"/>
      <c r="S22" s="115"/>
      <c r="T22" s="115"/>
      <c r="U22" s="121"/>
      <c r="V22" s="121"/>
      <c r="W22" s="121"/>
      <c r="X22" s="121"/>
      <c r="Y22" s="121"/>
      <c r="Z22" s="121"/>
      <c r="AA22" s="121"/>
      <c r="AB22" s="121"/>
      <c r="AC22" s="121"/>
      <c r="AD22" s="121"/>
      <c r="AE22" s="121"/>
      <c r="AF22" s="121"/>
    </row>
    <row r="23" spans="1:32" ht="15.75" customHeight="1" x14ac:dyDescent="0.2">
      <c r="A23" s="122" t="s">
        <v>123</v>
      </c>
      <c r="B23" s="87">
        <f t="shared" ref="B23:B35" si="0">B4</f>
        <v>2858657.7578734863</v>
      </c>
      <c r="C23" s="87">
        <f>B23</f>
        <v>2858657.7578734863</v>
      </c>
      <c r="E23" s="4">
        <v>0</v>
      </c>
      <c r="F23" s="4">
        <v>0</v>
      </c>
      <c r="G23" s="4">
        <v>0</v>
      </c>
      <c r="H23" s="87">
        <f t="shared" ref="H23:H34" si="1">C23+G23</f>
        <v>2858657.7578734863</v>
      </c>
      <c r="I23" s="87">
        <f t="shared" ref="I23:I34" si="2">C23/H23</f>
        <v>1</v>
      </c>
      <c r="J23" s="106">
        <f>'GBD Estimates'!J21</f>
        <v>1.5814011655643164E-2</v>
      </c>
      <c r="K23" s="106">
        <f t="shared" ref="K23:K34" si="3">I23*J23</f>
        <v>1.5814011655643164E-2</v>
      </c>
      <c r="L23" s="87">
        <f>J23*C20</f>
        <v>2.2213942172681951</v>
      </c>
      <c r="M23" s="87">
        <f t="shared" ref="M23:M34" si="4">I23*L23</f>
        <v>2.2213942172681951</v>
      </c>
      <c r="N23" s="4">
        <v>0</v>
      </c>
      <c r="O23" s="4">
        <v>0</v>
      </c>
      <c r="P23" s="123">
        <v>0</v>
      </c>
      <c r="Q23">
        <f t="shared" ref="Q23:Q35" si="5">M23/C23</f>
        <v>7.7707595851580979E-7</v>
      </c>
      <c r="R23" s="4">
        <v>0</v>
      </c>
      <c r="T23" s="124"/>
    </row>
    <row r="24" spans="1:32" ht="15.75" customHeight="1" x14ac:dyDescent="0.2">
      <c r="A24" s="122" t="s">
        <v>128</v>
      </c>
      <c r="B24" s="87">
        <f t="shared" si="0"/>
        <v>1905771.8385823241</v>
      </c>
      <c r="C24" s="87">
        <f>B24*(1 - 'National CEA estimate'!G20)</f>
        <v>360125.16122176335</v>
      </c>
      <c r="D24" s="87">
        <f>B24*('National CEA estimate'!G20)</f>
        <v>1545646.6773605607</v>
      </c>
      <c r="E24" s="88">
        <v>0</v>
      </c>
      <c r="F24" s="88">
        <v>0</v>
      </c>
      <c r="G24" s="87">
        <f>(D24*(1-N24))</f>
        <v>1020126.80705797</v>
      </c>
      <c r="H24" s="87">
        <f t="shared" si="1"/>
        <v>1380251.9682797333</v>
      </c>
      <c r="I24" s="87">
        <f t="shared" si="2"/>
        <v>0.26091262283842465</v>
      </c>
      <c r="J24" s="106">
        <f>'GBD Estimates'!J22</f>
        <v>1.0542674437095442E-2</v>
      </c>
      <c r="K24" s="106">
        <f t="shared" si="3"/>
        <v>2.7507168391141838E-3</v>
      </c>
      <c r="L24" s="87">
        <f>J24*C20</f>
        <v>1.4809294781787967</v>
      </c>
      <c r="M24" s="87">
        <f t="shared" si="4"/>
        <v>0.3863931943903694</v>
      </c>
      <c r="N24" s="4">
        <v>0.34</v>
      </c>
      <c r="O24" s="4">
        <v>0.34</v>
      </c>
      <c r="P24" s="123">
        <v>0.34</v>
      </c>
      <c r="Q24">
        <f t="shared" si="5"/>
        <v>1.0729413992609927E-6</v>
      </c>
      <c r="R24">
        <f t="shared" ref="R24:R35" si="6">M24/(B24-C24)</f>
        <v>2.4998804710672794E-7</v>
      </c>
      <c r="T24" s="124"/>
    </row>
    <row r="25" spans="1:32" ht="15.75" customHeight="1" x14ac:dyDescent="0.2">
      <c r="A25" s="122" t="s">
        <v>129</v>
      </c>
      <c r="B25" s="87">
        <f t="shared" si="0"/>
        <v>1905771.8385823241</v>
      </c>
      <c r="C25" s="87">
        <f>B25*(1 - 'National CEA estimate'!G20)</f>
        <v>360125.16122176335</v>
      </c>
      <c r="D25" s="87">
        <f>B25*('National CEA estimate'!G20-'National CEA estimate'!H20)</f>
        <v>25760.777956009297</v>
      </c>
      <c r="E25" s="87">
        <f>B25*('National CEA estimate'!H20)</f>
        <v>1519885.8994045514</v>
      </c>
      <c r="F25" s="88">
        <v>0</v>
      </c>
      <c r="G25" s="87">
        <f>((D25)*(1-N25))+(E25*(1-O25))</f>
        <v>472967.88327233162</v>
      </c>
      <c r="H25" s="87">
        <f t="shared" si="1"/>
        <v>833093.04449409503</v>
      </c>
      <c r="I25" s="87">
        <f t="shared" si="2"/>
        <v>0.43227483844911146</v>
      </c>
      <c r="J25" s="106">
        <f>'GBD Estimates'!J23</f>
        <v>1.0542674437095442E-2</v>
      </c>
      <c r="K25" s="106">
        <f t="shared" si="3"/>
        <v>4.5573328891170091E-3</v>
      </c>
      <c r="L25" s="87">
        <f>J25*C20</f>
        <v>1.4809294781787967</v>
      </c>
      <c r="M25" s="87">
        <f t="shared" si="4"/>
        <v>0.64016855093426628</v>
      </c>
      <c r="N25" s="4">
        <v>0.34</v>
      </c>
      <c r="O25" s="4">
        <v>0.7</v>
      </c>
      <c r="P25" s="123">
        <v>0.7</v>
      </c>
      <c r="Q25">
        <f t="shared" si="5"/>
        <v>1.7776279468016776E-6</v>
      </c>
      <c r="R25">
        <f t="shared" si="6"/>
        <v>4.1417521889766983E-7</v>
      </c>
      <c r="T25" s="124"/>
    </row>
    <row r="26" spans="1:32" ht="15.75" customHeight="1" x14ac:dyDescent="0.2">
      <c r="A26" s="122" t="s">
        <v>130</v>
      </c>
      <c r="B26" s="87">
        <f t="shared" si="0"/>
        <v>11962121.451101553</v>
      </c>
      <c r="C26" s="87">
        <f>B26*(1 - 'National CEA estimate'!G20)</f>
        <v>2260428.4673116039</v>
      </c>
      <c r="D26" s="87">
        <f>B26*('National CEA estimate'!G20-'National CEA estimate'!H20)</f>
        <v>161694.8830631655</v>
      </c>
      <c r="E26" s="87">
        <f>B26*('National CEA estimate'!H20-'National CEA estimate'!I20)</f>
        <v>161694.8830631655</v>
      </c>
      <c r="F26" s="87">
        <f>B26*('National CEA estimate'!I20)</f>
        <v>9378303.2176636178</v>
      </c>
      <c r="G26" s="87">
        <f t="shared" ref="G26:G34" si="7">((D26)*(1-N26))+(E26*(1-O26))+(D26*(1-P26))</f>
        <v>190799.96201453527</v>
      </c>
      <c r="H26" s="87">
        <f t="shared" si="1"/>
        <v>2451228.4293261394</v>
      </c>
      <c r="I26" s="87">
        <f t="shared" si="2"/>
        <v>0.92216149269001924</v>
      </c>
      <c r="J26" s="106">
        <f>'GBD Estimates'!J24</f>
        <v>6.6174108297125847E-2</v>
      </c>
      <c r="K26" s="106">
        <f t="shared" si="3"/>
        <v>6.1023214484708557E-2</v>
      </c>
      <c r="L26" s="87">
        <f>J26*C20</f>
        <v>9.2954769924972673</v>
      </c>
      <c r="M26" s="87">
        <f t="shared" si="4"/>
        <v>8.5719309386670108</v>
      </c>
      <c r="N26" s="4">
        <v>0.34</v>
      </c>
      <c r="O26" s="4">
        <v>0.7</v>
      </c>
      <c r="P26" s="123">
        <v>0.78</v>
      </c>
      <c r="Q26">
        <f t="shared" si="5"/>
        <v>3.7921708484152422E-6</v>
      </c>
      <c r="R26">
        <f t="shared" si="6"/>
        <v>8.8355001060015008E-7</v>
      </c>
      <c r="T26" s="124"/>
    </row>
    <row r="27" spans="1:32" ht="15.75" customHeight="1" x14ac:dyDescent="0.2">
      <c r="A27" s="122" t="s">
        <v>131</v>
      </c>
      <c r="B27" s="87">
        <f t="shared" si="0"/>
        <v>12421548.590759791</v>
      </c>
      <c r="C27" s="87">
        <f>B27*(1 - 'National CEA estimate'!G20)</f>
        <v>2347244.3543918505</v>
      </c>
      <c r="D27" s="87">
        <f>B27*('National CEA estimate'!G20-'National CEA estimate'!H20)</f>
        <v>167905.07060613204</v>
      </c>
      <c r="E27" s="87">
        <f>B27*('National CEA estimate'!H20-'National CEA estimate'!I20)</f>
        <v>167905.07060613204</v>
      </c>
      <c r="F27" s="87">
        <f>B27*('National CEA estimate'!I20)</f>
        <v>9738494.0951556768</v>
      </c>
      <c r="G27" s="87">
        <f t="shared" si="7"/>
        <v>198127.98331523582</v>
      </c>
      <c r="H27" s="87">
        <f t="shared" si="1"/>
        <v>2545372.3377070865</v>
      </c>
      <c r="I27" s="87">
        <f t="shared" si="2"/>
        <v>0.92216149269001924</v>
      </c>
      <c r="J27" s="106">
        <f>'GBD Estimates'!J25</f>
        <v>6.8715645884639937E-2</v>
      </c>
      <c r="K27" s="106">
        <f t="shared" si="3"/>
        <v>6.3366922580138346E-2</v>
      </c>
      <c r="L27" s="87">
        <f>J27*C20</f>
        <v>9.6524867774153726</v>
      </c>
      <c r="M27" s="87">
        <f t="shared" si="4"/>
        <v>8.9011516148320329</v>
      </c>
      <c r="N27" s="4">
        <v>0.34</v>
      </c>
      <c r="O27" s="4">
        <v>0.7</v>
      </c>
      <c r="P27" s="123">
        <v>0.78</v>
      </c>
      <c r="Q27">
        <f t="shared" si="5"/>
        <v>3.7921708484152431E-6</v>
      </c>
      <c r="R27">
        <f t="shared" si="6"/>
        <v>8.835500106001503E-7</v>
      </c>
      <c r="T27" s="124"/>
    </row>
    <row r="28" spans="1:32" ht="15.75" customHeight="1" x14ac:dyDescent="0.2">
      <c r="A28" s="122" t="s">
        <v>132</v>
      </c>
      <c r="B28" s="87">
        <f t="shared" si="0"/>
        <v>6210842.3586598439</v>
      </c>
      <c r="C28" s="87">
        <f>B28*(1 - 'National CEA estimate'!G20)</f>
        <v>1173635.0388088259</v>
      </c>
      <c r="D28" s="87">
        <f>B28*('National CEA estimate'!G20-'National CEA estimate'!H20)</f>
        <v>83953.455330850134</v>
      </c>
      <c r="E28" s="87">
        <f>B28*('National CEA estimate'!H20-'National CEA estimate'!I20)</f>
        <v>83953.455330850134</v>
      </c>
      <c r="F28" s="87">
        <f>B28*('National CEA estimate'!I20)</f>
        <v>4869300.4091893174</v>
      </c>
      <c r="G28" s="87">
        <f t="shared" si="7"/>
        <v>99065.077290403162</v>
      </c>
      <c r="H28" s="87">
        <f t="shared" si="1"/>
        <v>1272700.1160992291</v>
      </c>
      <c r="I28" s="87">
        <f t="shared" si="2"/>
        <v>0.92216149269001924</v>
      </c>
      <c r="J28" s="106">
        <f>'GBD Estimates'!J26</f>
        <v>3.4358199466407002E-2</v>
      </c>
      <c r="K28" s="106">
        <f t="shared" si="3"/>
        <v>3.1683808506083301E-2</v>
      </c>
      <c r="L28" s="87">
        <f>J28*C20</f>
        <v>4.8262962790461916</v>
      </c>
      <c r="M28" s="87">
        <f t="shared" si="4"/>
        <v>4.4506245808495217</v>
      </c>
      <c r="N28" s="4">
        <v>0.34</v>
      </c>
      <c r="O28" s="4">
        <v>0.7</v>
      </c>
      <c r="P28" s="123">
        <v>0.78</v>
      </c>
      <c r="Q28">
        <f t="shared" si="5"/>
        <v>3.7921708484152427E-6</v>
      </c>
      <c r="R28">
        <f t="shared" si="6"/>
        <v>8.8355001060015019E-7</v>
      </c>
      <c r="T28" s="124"/>
    </row>
    <row r="29" spans="1:32" ht="15.75" customHeight="1" x14ac:dyDescent="0.2">
      <c r="A29" s="122" t="s">
        <v>133</v>
      </c>
      <c r="B29" s="87">
        <f t="shared" si="0"/>
        <v>12421548.590759791</v>
      </c>
      <c r="C29" s="87">
        <f>B29*(1 - 'National CEA estimate'!G20)</f>
        <v>2347244.3543918505</v>
      </c>
      <c r="D29" s="87">
        <f>B29*('National CEA estimate'!G20-'National CEA estimate'!H20)</f>
        <v>167905.07060613204</v>
      </c>
      <c r="E29" s="87">
        <f>B29*('National CEA estimate'!H20-'National CEA estimate'!I20)</f>
        <v>167905.07060613204</v>
      </c>
      <c r="F29" s="87">
        <f>B29*('National CEA estimate'!I20)</f>
        <v>9738494.0951556768</v>
      </c>
      <c r="G29" s="87">
        <f t="shared" si="7"/>
        <v>198127.98331523582</v>
      </c>
      <c r="H29" s="87">
        <f t="shared" si="1"/>
        <v>2545372.3377070865</v>
      </c>
      <c r="I29" s="87">
        <f t="shared" si="2"/>
        <v>0.92216149269001924</v>
      </c>
      <c r="J29" s="106">
        <f>'GBD Estimates'!J27</f>
        <v>6.8715645884639937E-2</v>
      </c>
      <c r="K29" s="106">
        <f t="shared" si="3"/>
        <v>6.3366922580138346E-2</v>
      </c>
      <c r="L29" s="87">
        <f>J29*C20</f>
        <v>9.6524867774153726</v>
      </c>
      <c r="M29" s="87">
        <f t="shared" si="4"/>
        <v>8.9011516148320329</v>
      </c>
      <c r="N29" s="4">
        <v>0.34</v>
      </c>
      <c r="O29" s="4">
        <v>0.7</v>
      </c>
      <c r="P29" s="123">
        <v>0.78</v>
      </c>
      <c r="Q29">
        <f t="shared" si="5"/>
        <v>3.7921708484152431E-6</v>
      </c>
      <c r="R29">
        <f t="shared" si="6"/>
        <v>8.835500106001503E-7</v>
      </c>
      <c r="T29" s="124"/>
    </row>
    <row r="30" spans="1:32" ht="12.75" x14ac:dyDescent="0.2">
      <c r="A30" s="122" t="s">
        <v>134</v>
      </c>
      <c r="B30" s="87">
        <f t="shared" si="0"/>
        <v>74529223.481278807</v>
      </c>
      <c r="C30" s="87">
        <f>B30*(1 - 'National CEA estimate'!G20)</f>
        <v>14083453.264738204</v>
      </c>
      <c r="D30" s="87">
        <f>B30*('National CEA estimate'!G20-'National CEA estimate'!H20)</f>
        <v>1007429.5036090082</v>
      </c>
      <c r="E30" s="87">
        <f>B30*('National CEA estimate'!H20-'National CEA estimate'!I20)</f>
        <v>1007429.5036090082</v>
      </c>
      <c r="F30" s="87">
        <f>B30*('National CEA estimate'!I20)</f>
        <v>58430911.209322587</v>
      </c>
      <c r="G30" s="87">
        <f t="shared" si="7"/>
        <v>1188766.8142586297</v>
      </c>
      <c r="H30" s="87">
        <f t="shared" si="1"/>
        <v>15272220.078996833</v>
      </c>
      <c r="I30" s="87">
        <f t="shared" si="2"/>
        <v>0.92216149269001924</v>
      </c>
      <c r="J30" s="106">
        <f>'GBD Estimates'!J28</f>
        <v>0.18324197337509787</v>
      </c>
      <c r="K30" s="106">
        <f t="shared" si="3"/>
        <v>0.16897869169104501</v>
      </c>
      <c r="L30" s="87">
        <f>J30*C20</f>
        <v>25.74</v>
      </c>
      <c r="M30" s="87">
        <f t="shared" si="4"/>
        <v>23.736436821841092</v>
      </c>
      <c r="N30" s="4">
        <v>0.34</v>
      </c>
      <c r="O30" s="4">
        <v>0.7</v>
      </c>
      <c r="P30" s="123">
        <v>0.78</v>
      </c>
      <c r="Q30">
        <f t="shared" si="5"/>
        <v>1.6854131139322049E-6</v>
      </c>
      <c r="R30">
        <f t="shared" si="6"/>
        <v>3.926897901508709E-7</v>
      </c>
      <c r="T30" s="124"/>
    </row>
    <row r="31" spans="1:32" ht="12.75" x14ac:dyDescent="0.2">
      <c r="A31" s="122" t="s">
        <v>135</v>
      </c>
      <c r="B31" s="87">
        <f t="shared" si="0"/>
        <v>253795974.49182943</v>
      </c>
      <c r="C31" s="87">
        <f>B31*(1 - 'National CEA estimate'!G20)</f>
        <v>47958687.593628466</v>
      </c>
      <c r="D31" s="87">
        <f>B31*('National CEA estimate'!G20-'National CEA estimate'!H20)</f>
        <v>3430621.4483033428</v>
      </c>
      <c r="E31" s="87">
        <f>B31*('National CEA estimate'!H20-'National CEA estimate'!I20)</f>
        <v>3430621.4483033428</v>
      </c>
      <c r="F31" s="87">
        <f>B31*('National CEA estimate'!I20)</f>
        <v>198976044.00159428</v>
      </c>
      <c r="G31" s="87">
        <f t="shared" si="7"/>
        <v>6193987.0249116849</v>
      </c>
      <c r="H31" s="87">
        <f t="shared" si="1"/>
        <v>54152674.618540153</v>
      </c>
      <c r="I31" s="87">
        <f t="shared" si="2"/>
        <v>0.88561992425040692</v>
      </c>
      <c r="J31" s="106">
        <f>'GBD Estimates'!J30</f>
        <v>0.17185164091976934</v>
      </c>
      <c r="K31" s="106">
        <f t="shared" si="3"/>
        <v>0.15219523721367426</v>
      </c>
      <c r="L31" s="87">
        <f>J31*C20</f>
        <v>24.14</v>
      </c>
      <c r="M31" s="87">
        <f t="shared" si="4"/>
        <v>21.378864971404823</v>
      </c>
      <c r="N31" s="106">
        <f>AVERAGE(0.255,0.191)</f>
        <v>0.223</v>
      </c>
      <c r="O31" s="140">
        <f>AVERAGE(0.525,0.394)</f>
        <v>0.45950000000000002</v>
      </c>
      <c r="P31" s="123">
        <f>AVERAGE(0.585,0.439)</f>
        <v>0.51200000000000001</v>
      </c>
      <c r="Q31">
        <f t="shared" si="5"/>
        <v>4.4577668914870608E-7</v>
      </c>
      <c r="R31">
        <f t="shared" si="6"/>
        <v>1.0386293607716453E-7</v>
      </c>
      <c r="T31" s="124"/>
    </row>
    <row r="32" spans="1:32" ht="12.75" x14ac:dyDescent="0.2">
      <c r="A32" s="122" t="s">
        <v>136</v>
      </c>
      <c r="B32" s="87">
        <f t="shared" si="0"/>
        <v>702008399.68014467</v>
      </c>
      <c r="C32" s="87">
        <f>B32*(1 - 'National CEA estimate'!G20)</f>
        <v>132655380.35335149</v>
      </c>
      <c r="D32" s="87">
        <f>B32*('National CEA estimate'!G20-'National CEA estimate'!H20)</f>
        <v>9489216.9887798689</v>
      </c>
      <c r="E32" s="87">
        <f>B32*('National CEA estimate'!H20-'National CEA estimate'!I20)</f>
        <v>9489216.9887798689</v>
      </c>
      <c r="F32" s="87">
        <f>B32*('National CEA estimate'!I20)</f>
        <v>550374585.34923339</v>
      </c>
      <c r="G32" s="87">
        <f t="shared" si="7"/>
        <v>24859037.305749319</v>
      </c>
      <c r="H32" s="87">
        <f t="shared" si="1"/>
        <v>157514417.6591008</v>
      </c>
      <c r="I32" s="87">
        <f t="shared" si="2"/>
        <v>0.84217928952033927</v>
      </c>
      <c r="J32" s="106">
        <f>'GBD Estimates'!J31</f>
        <v>0.2615505090054816</v>
      </c>
      <c r="K32" s="106">
        <f t="shared" si="3"/>
        <v>0.22027242184791959</v>
      </c>
      <c r="L32" s="87">
        <f>J32*C20</f>
        <v>36.74</v>
      </c>
      <c r="M32" s="87">
        <f t="shared" si="4"/>
        <v>30.941667096977266</v>
      </c>
      <c r="N32" s="106">
        <f>AVERAGE(0.143,0.108,0.081,0.061,0.045,0.034,0.026)</f>
        <v>7.1142857142857147E-2</v>
      </c>
      <c r="O32" s="142">
        <f>AVERAGE(0.295,0.221,0.166,0.125,0.093,0.07,0.053)</f>
        <v>0.14614285714285713</v>
      </c>
      <c r="P32" s="123">
        <f>AVERAGE(0.329,0.247,0.185,0.139,0.104,0.078,0.059)</f>
        <v>0.16300000000000003</v>
      </c>
      <c r="Q32">
        <f t="shared" si="5"/>
        <v>2.3324848954153662E-7</v>
      </c>
      <c r="R32">
        <f t="shared" si="6"/>
        <v>5.4345311338759384E-8</v>
      </c>
      <c r="T32" s="124"/>
    </row>
    <row r="33" spans="1:32" ht="12.75" x14ac:dyDescent="0.2">
      <c r="A33" s="122" t="s">
        <v>137</v>
      </c>
      <c r="B33" s="87">
        <f t="shared" si="0"/>
        <v>187034120.04369521</v>
      </c>
      <c r="C33" s="87">
        <f>B33*(1 - 'National CEA estimate'!G20)</f>
        <v>35342999.2358431</v>
      </c>
      <c r="D33" s="87">
        <f>B33*('National CEA estimate'!G20-'National CEA estimate'!H20)</f>
        <v>2528185.3467975305</v>
      </c>
      <c r="E33" s="87">
        <f>B33*('National CEA estimate'!H20-'National CEA estimate'!I20)</f>
        <v>2528185.3467975305</v>
      </c>
      <c r="F33" s="87">
        <f>B33*('National CEA estimate'!I20)</f>
        <v>146634750.11425704</v>
      </c>
      <c r="G33" s="87">
        <f t="shared" si="7"/>
        <v>7406951.0197800659</v>
      </c>
      <c r="H33" s="87">
        <f t="shared" si="1"/>
        <v>42749950.255623162</v>
      </c>
      <c r="I33" s="87">
        <f t="shared" si="2"/>
        <v>0.82673778623155758</v>
      </c>
      <c r="J33" s="106">
        <f>'GBD Estimates'!J32</f>
        <v>0.10849291663700435</v>
      </c>
      <c r="K33" s="106">
        <f t="shared" si="3"/>
        <v>8.9695193722281893E-2</v>
      </c>
      <c r="L33" s="87">
        <f>J33*C20</f>
        <v>15.24</v>
      </c>
      <c r="M33" s="87">
        <f t="shared" si="4"/>
        <v>12.599483862168938</v>
      </c>
      <c r="N33" s="106">
        <f>AVERAGE(0.019,0.014,0.011,0.008)</f>
        <v>1.2999999999999999E-2</v>
      </c>
      <c r="O33" s="142">
        <f>AVERAGE(0.039,0.03,0.022,0.017)</f>
        <v>2.7E-2</v>
      </c>
      <c r="P33" s="123">
        <f>AVERAGE(0.044,0.033,0.025,0.019)</f>
        <v>3.0250000000000003E-2</v>
      </c>
      <c r="Q33">
        <f t="shared" si="5"/>
        <v>3.564916428878275E-7</v>
      </c>
      <c r="R33">
        <f t="shared" si="6"/>
        <v>8.306012767964689E-8</v>
      </c>
      <c r="T33" s="124"/>
    </row>
    <row r="34" spans="1:32" ht="12.75" x14ac:dyDescent="0.2">
      <c r="A34" s="122" t="s">
        <v>138</v>
      </c>
      <c r="B34" s="87">
        <f t="shared" si="0"/>
        <v>44591513.345568866</v>
      </c>
      <c r="C34" s="87">
        <f>B34*(1 - 'National CEA estimate'!G20)</f>
        <v>8426258.3839212898</v>
      </c>
      <c r="D34" s="87">
        <f>B34*('National CEA estimate'!G20-'National CEA estimate'!H20)</f>
        <v>602754.24936079176</v>
      </c>
      <c r="E34" s="87">
        <f>B34*('National CEA estimate'!H20-'National CEA estimate'!I20)</f>
        <v>602754.24936079176</v>
      </c>
      <c r="F34" s="87">
        <f>B34*('National CEA estimate'!I20)</f>
        <v>34959746.462925993</v>
      </c>
      <c r="G34" s="87">
        <f t="shared" si="7"/>
        <v>1793394.8099314757</v>
      </c>
      <c r="H34" s="87">
        <f t="shared" si="1"/>
        <v>10219653.193852765</v>
      </c>
      <c r="I34" s="87">
        <f t="shared" si="2"/>
        <v>0.82451510086367485</v>
      </c>
      <c r="J34" s="106">
        <f>'GBD Estimates'!J33</f>
        <v>0</v>
      </c>
      <c r="K34">
        <f t="shared" si="3"/>
        <v>0</v>
      </c>
      <c r="L34" s="87">
        <f>J34*C20</f>
        <v>0</v>
      </c>
      <c r="M34" s="87">
        <f t="shared" si="4"/>
        <v>0</v>
      </c>
      <c r="N34" s="106">
        <f>AVERAGE(0.006,0.005,0.003)</f>
        <v>4.6666666666666662E-3</v>
      </c>
      <c r="O34" s="142">
        <f>AVERAGE(0.012,0.009,0.007)</f>
        <v>9.3333333333333324E-3</v>
      </c>
      <c r="P34" s="123">
        <f>AVERAGE(0.014,0.01,0.008)</f>
        <v>1.0666666666666666E-2</v>
      </c>
      <c r="Q34">
        <f t="shared" si="5"/>
        <v>0</v>
      </c>
      <c r="R34">
        <f t="shared" si="6"/>
        <v>0</v>
      </c>
      <c r="T34" s="124"/>
    </row>
    <row r="35" spans="1:32" ht="12.75" x14ac:dyDescent="0.2">
      <c r="A35" s="145" t="s">
        <v>103</v>
      </c>
      <c r="B35" s="146">
        <f t="shared" si="0"/>
        <v>1311636774.868042</v>
      </c>
      <c r="C35" s="146">
        <f t="shared" ref="C35:H35" si="8">SUM(C23:C34)</f>
        <v>250174239.12670368</v>
      </c>
      <c r="D35" s="146">
        <f t="shared" si="8"/>
        <v>19211073.471773393</v>
      </c>
      <c r="E35" s="146">
        <f t="shared" si="8"/>
        <v>19159551.915861372</v>
      </c>
      <c r="F35" s="146">
        <f t="shared" si="8"/>
        <v>1023100628.9544977</v>
      </c>
      <c r="G35" s="146">
        <f t="shared" si="8"/>
        <v>43621352.670896888</v>
      </c>
      <c r="H35" s="146">
        <f t="shared" si="8"/>
        <v>293795591.79760057</v>
      </c>
      <c r="I35" s="147"/>
      <c r="J35" s="148">
        <f t="shared" ref="J35:M35" si="9">SUM(J23:J34)</f>
        <v>0.99999999999999989</v>
      </c>
      <c r="K35" s="148">
        <f t="shared" si="9"/>
        <v>0.87370447400986362</v>
      </c>
      <c r="L35" s="146">
        <f t="shared" si="9"/>
        <v>140.47</v>
      </c>
      <c r="M35" s="87">
        <f t="shared" si="9"/>
        <v>122.72926746416555</v>
      </c>
      <c r="P35" s="147"/>
      <c r="Q35" s="147">
        <f t="shared" si="5"/>
        <v>4.9057516030660487E-7</v>
      </c>
      <c r="R35" s="147">
        <f t="shared" si="6"/>
        <v>1.1562279716113574E-7</v>
      </c>
      <c r="S35" s="147">
        <f>SUM(M23:M30)/SUM(C23:C30)</f>
        <v>2.2414580778310993E-6</v>
      </c>
      <c r="T35" s="149">
        <f>SUM(M24:M30)/SUM(C24:C30)</f>
        <v>2.4240030198551247E-6</v>
      </c>
    </row>
    <row r="39" spans="1:32" ht="12.75" x14ac:dyDescent="0.2">
      <c r="A39" s="109" t="s">
        <v>44</v>
      </c>
      <c r="B39" s="109"/>
      <c r="C39" s="110"/>
      <c r="D39" s="110"/>
      <c r="E39" s="110"/>
      <c r="F39" s="110"/>
      <c r="G39" s="110"/>
      <c r="H39" s="110"/>
      <c r="I39" s="110"/>
      <c r="J39" s="110"/>
      <c r="K39" s="110"/>
      <c r="L39" s="110"/>
      <c r="M39" s="110"/>
      <c r="N39" s="110"/>
      <c r="O39" s="110"/>
      <c r="P39" s="110"/>
      <c r="Q39" s="110"/>
      <c r="R39" s="110"/>
      <c r="S39" s="110"/>
      <c r="T39" s="110"/>
    </row>
    <row r="40" spans="1:32" ht="25.5" x14ac:dyDescent="0.2">
      <c r="A40" s="25"/>
      <c r="B40" s="112" t="s">
        <v>140</v>
      </c>
      <c r="C40" s="113">
        <f>'GBD Estimates'!R5</f>
        <v>20799.05</v>
      </c>
      <c r="D40" s="113"/>
      <c r="E40" s="113"/>
      <c r="F40" s="113"/>
      <c r="G40" s="114"/>
      <c r="H40" s="114"/>
      <c r="I40" s="114"/>
      <c r="J40" s="114"/>
      <c r="K40" s="114"/>
      <c r="L40" s="114"/>
      <c r="M40" s="114"/>
      <c r="N40" s="115" t="s">
        <v>141</v>
      </c>
      <c r="O40" s="115"/>
      <c r="P40" s="115"/>
      <c r="Q40" s="114"/>
      <c r="R40" s="114"/>
      <c r="S40" s="114"/>
      <c r="T40" s="114"/>
    </row>
    <row r="41" spans="1:32" ht="76.5" x14ac:dyDescent="0.2">
      <c r="A41" s="116" t="s">
        <v>119</v>
      </c>
      <c r="B41" s="117" t="s">
        <v>142</v>
      </c>
      <c r="C41" s="118" t="s">
        <v>143</v>
      </c>
      <c r="D41" s="118" t="s">
        <v>144</v>
      </c>
      <c r="E41" s="118" t="s">
        <v>145</v>
      </c>
      <c r="F41" s="118" t="s">
        <v>146</v>
      </c>
      <c r="G41" s="117" t="s">
        <v>147</v>
      </c>
      <c r="H41" s="115" t="s">
        <v>148</v>
      </c>
      <c r="I41" s="115" t="s">
        <v>149</v>
      </c>
      <c r="J41" s="115" t="s">
        <v>150</v>
      </c>
      <c r="K41" s="119" t="s">
        <v>151</v>
      </c>
      <c r="L41" s="115" t="s">
        <v>152</v>
      </c>
      <c r="M41" s="119" t="s">
        <v>153</v>
      </c>
      <c r="N41" s="12" t="s">
        <v>154</v>
      </c>
      <c r="O41" s="12" t="s">
        <v>155</v>
      </c>
      <c r="P41" s="12" t="s">
        <v>156</v>
      </c>
      <c r="Q41" s="115" t="s">
        <v>157</v>
      </c>
      <c r="R41" s="115" t="s">
        <v>158</v>
      </c>
      <c r="S41" s="115" t="s">
        <v>159</v>
      </c>
      <c r="T41" s="115" t="s">
        <v>160</v>
      </c>
    </row>
    <row r="42" spans="1:32" ht="12.75" x14ac:dyDescent="0.2">
      <c r="A42" s="116"/>
      <c r="B42" s="119" t="s">
        <v>161</v>
      </c>
      <c r="C42" s="119" t="s">
        <v>162</v>
      </c>
      <c r="D42" s="115"/>
      <c r="E42" s="115"/>
      <c r="F42" s="115"/>
      <c r="G42" s="119" t="s">
        <v>163</v>
      </c>
      <c r="H42" s="119" t="s">
        <v>164</v>
      </c>
      <c r="I42" s="115"/>
      <c r="J42" s="119" t="s">
        <v>165</v>
      </c>
      <c r="K42" s="119" t="s">
        <v>166</v>
      </c>
      <c r="L42" s="120" t="s">
        <v>167</v>
      </c>
      <c r="M42" s="119" t="s">
        <v>168</v>
      </c>
      <c r="N42" s="115"/>
      <c r="O42" s="115"/>
      <c r="P42" s="115"/>
      <c r="Q42" s="119" t="s">
        <v>169</v>
      </c>
      <c r="R42" s="115"/>
      <c r="S42" s="115"/>
      <c r="T42" s="115"/>
      <c r="U42" s="121"/>
      <c r="V42" s="121"/>
      <c r="W42" s="121"/>
      <c r="X42" s="121"/>
      <c r="Y42" s="121"/>
      <c r="Z42" s="121"/>
      <c r="AA42" s="121"/>
      <c r="AB42" s="121"/>
      <c r="AC42" s="121"/>
      <c r="AD42" s="121"/>
      <c r="AE42" s="121"/>
      <c r="AF42" s="121"/>
    </row>
    <row r="43" spans="1:32" ht="12.75" x14ac:dyDescent="0.2">
      <c r="A43" s="122" t="s">
        <v>123</v>
      </c>
      <c r="B43" s="87">
        <f t="shared" ref="B43:B55" si="10">B4</f>
        <v>2858657.7578734863</v>
      </c>
      <c r="C43" s="87">
        <f>B43</f>
        <v>2858657.7578734863</v>
      </c>
      <c r="E43" s="4">
        <v>0</v>
      </c>
      <c r="F43" s="4">
        <v>0</v>
      </c>
      <c r="G43" s="4">
        <v>0</v>
      </c>
      <c r="H43" s="87">
        <f t="shared" ref="H43:H54" si="11">C43+G43</f>
        <v>2858657.7578734863</v>
      </c>
      <c r="I43" s="87">
        <f t="shared" ref="I43:I54" si="12">C43/H43</f>
        <v>1</v>
      </c>
      <c r="J43" s="106">
        <f>'GBD Estimates'!K21</f>
        <v>1.3952827850405043E-2</v>
      </c>
      <c r="K43" s="106">
        <f t="shared" ref="K43:K54" si="13">I43*J43</f>
        <v>1.3952827850405043E-2</v>
      </c>
      <c r="L43" s="87">
        <f>J43*C40</f>
        <v>290.20556410196701</v>
      </c>
      <c r="M43" s="87">
        <f t="shared" ref="M43:M54" si="14">I43*L43</f>
        <v>290.20556410196701</v>
      </c>
      <c r="N43" s="4">
        <v>0</v>
      </c>
      <c r="O43" s="4">
        <v>0</v>
      </c>
      <c r="P43" s="123">
        <v>0</v>
      </c>
      <c r="Q43">
        <f t="shared" ref="Q43:Q55" si="15">M43/C43</f>
        <v>1.0151812097921323E-4</v>
      </c>
      <c r="R43" s="4">
        <v>0</v>
      </c>
      <c r="S43" s="4"/>
      <c r="T43" s="124"/>
    </row>
    <row r="44" spans="1:32" ht="12.75" x14ac:dyDescent="0.2">
      <c r="A44" s="122" t="s">
        <v>128</v>
      </c>
      <c r="B44" s="87">
        <f t="shared" si="10"/>
        <v>1905771.8385823241</v>
      </c>
      <c r="C44" s="87">
        <f>B44*(1 - 'National CEA estimate'!G21)</f>
        <v>360125.16122176335</v>
      </c>
      <c r="D44" s="87">
        <f>B44*('National CEA estimate'!G21)</f>
        <v>1545646.6773605607</v>
      </c>
      <c r="E44" s="88">
        <v>0</v>
      </c>
      <c r="F44" s="88">
        <v>0</v>
      </c>
      <c r="G44" s="87">
        <f>(D44*(1-N44))</f>
        <v>772823.33868028037</v>
      </c>
      <c r="H44" s="87">
        <f t="shared" si="11"/>
        <v>1132948.4999020437</v>
      </c>
      <c r="I44" s="87">
        <f t="shared" si="12"/>
        <v>0.3178654292343388</v>
      </c>
      <c r="J44" s="106">
        <f>'GBD Estimates'!K22</f>
        <v>9.3018852336033617E-3</v>
      </c>
      <c r="K44" s="106">
        <f t="shared" si="13"/>
        <v>2.9567477424678906E-3</v>
      </c>
      <c r="L44" s="87">
        <f>J44*C40</f>
        <v>193.47037606797798</v>
      </c>
      <c r="M44" s="87">
        <f t="shared" si="14"/>
        <v>61.49754413297677</v>
      </c>
      <c r="N44" s="142">
        <v>0.5</v>
      </c>
      <c r="O44" s="142">
        <f>N44</f>
        <v>0.5</v>
      </c>
      <c r="P44" s="123">
        <f>N44</f>
        <v>0.5</v>
      </c>
      <c r="Q44">
        <f t="shared" si="15"/>
        <v>1.707671408583053E-4</v>
      </c>
      <c r="R44">
        <f t="shared" ref="R44:R55" si="16">M44/(B44-C44)</f>
        <v>3.9787582138754814E-5</v>
      </c>
      <c r="S44" s="4"/>
      <c r="T44" s="124"/>
    </row>
    <row r="45" spans="1:32" ht="12.75" x14ac:dyDescent="0.2">
      <c r="A45" s="122" t="s">
        <v>129</v>
      </c>
      <c r="B45" s="87">
        <f t="shared" si="10"/>
        <v>1905771.8385823241</v>
      </c>
      <c r="C45" s="87">
        <f>B45*(1 - 'National CEA estimate'!G21)</f>
        <v>360125.16122176335</v>
      </c>
      <c r="D45" s="87">
        <f>B45*('National CEA estimate'!G21-'National CEA estimate'!H21)</f>
        <v>25760.777956009297</v>
      </c>
      <c r="E45" s="87">
        <f>B45*('National CEA estimate'!H21)</f>
        <v>1519885.8994045514</v>
      </c>
      <c r="F45" s="88">
        <v>0</v>
      </c>
      <c r="G45" s="87">
        <f>((D45)*(1-N45))+(E45*(1-O45))</f>
        <v>316857.56885891483</v>
      </c>
      <c r="H45" s="87">
        <f t="shared" si="11"/>
        <v>676982.73008067813</v>
      </c>
      <c r="I45" s="87">
        <f t="shared" si="12"/>
        <v>0.53195620097848895</v>
      </c>
      <c r="J45" s="106">
        <f>'GBD Estimates'!K23</f>
        <v>9.3018852336033617E-3</v>
      </c>
      <c r="K45" s="106">
        <f t="shared" si="13"/>
        <v>4.9481955308055487E-3</v>
      </c>
      <c r="L45" s="87">
        <f>J45*C40</f>
        <v>193.47037606797798</v>
      </c>
      <c r="M45" s="87">
        <f t="shared" si="14"/>
        <v>102.91776625500113</v>
      </c>
      <c r="N45" s="142">
        <v>0.5</v>
      </c>
      <c r="O45" s="142">
        <v>0.8</v>
      </c>
      <c r="P45" s="123">
        <f>O45</f>
        <v>0.8</v>
      </c>
      <c r="Q45">
        <f t="shared" si="15"/>
        <v>2.8578332573553464E-4</v>
      </c>
      <c r="R45">
        <f t="shared" si="16"/>
        <v>6.6585570792122877E-5</v>
      </c>
      <c r="S45" s="4"/>
      <c r="T45" s="124"/>
    </row>
    <row r="46" spans="1:32" ht="12.75" x14ac:dyDescent="0.2">
      <c r="A46" s="122" t="s">
        <v>130</v>
      </c>
      <c r="B46" s="87">
        <f t="shared" si="10"/>
        <v>11962121.451101553</v>
      </c>
      <c r="C46" s="87">
        <f>B46*(1 - 'National CEA estimate'!G21)</f>
        <v>2260428.4673116039</v>
      </c>
      <c r="D46" s="87">
        <f>B46*('National CEA estimate'!G21-'National CEA estimate'!H21)</f>
        <v>161694.8830631655</v>
      </c>
      <c r="E46" s="87">
        <f>B46*('National CEA estimate'!H21-'National CEA estimate'!I21)</f>
        <v>161694.8830631655</v>
      </c>
      <c r="F46" s="87">
        <f>B46*('National CEA estimate'!I21)</f>
        <v>9378303.2176636178</v>
      </c>
      <c r="G46" s="87">
        <f t="shared" ref="G46:G54" si="17">((D46)*(1-N46))+(E46*(1-O46))+(D46*(1-P46))</f>
        <v>129355.90645053239</v>
      </c>
      <c r="H46" s="87">
        <f t="shared" si="11"/>
        <v>2389784.3737621363</v>
      </c>
      <c r="I46" s="87">
        <f t="shared" si="12"/>
        <v>0.94587130626898663</v>
      </c>
      <c r="J46" s="106">
        <f>'GBD Estimates'!K24</f>
        <v>5.8385940350206812E-2</v>
      </c>
      <c r="K46" s="106">
        <f t="shared" si="13"/>
        <v>5.5225585666793253E-2</v>
      </c>
      <c r="L46" s="87">
        <f>J46*C40</f>
        <v>1214.372092640969</v>
      </c>
      <c r="M46" s="87">
        <f t="shared" si="14"/>
        <v>1148.6397175629161</v>
      </c>
      <c r="N46" s="142">
        <v>0.5</v>
      </c>
      <c r="O46" s="142">
        <v>0.8</v>
      </c>
      <c r="P46" s="123">
        <v>0.9</v>
      </c>
      <c r="Q46">
        <f t="shared" si="15"/>
        <v>5.081513235979673E-4</v>
      </c>
      <c r="R46">
        <f t="shared" si="16"/>
        <v>1.1839580158660123E-4</v>
      </c>
      <c r="S46" s="4"/>
      <c r="T46" s="124"/>
    </row>
    <row r="47" spans="1:32" ht="12.75" x14ac:dyDescent="0.2">
      <c r="A47" s="122" t="s">
        <v>131</v>
      </c>
      <c r="B47" s="87">
        <f t="shared" si="10"/>
        <v>12421548.590759791</v>
      </c>
      <c r="C47" s="87">
        <f>B47*(1 - 'National CEA estimate'!G21)</f>
        <v>2347244.3543918505</v>
      </c>
      <c r="D47" s="87">
        <f>B47*('National CEA estimate'!G21-'National CEA estimate'!H21)</f>
        <v>167905.07060613204</v>
      </c>
      <c r="E47" s="87">
        <f>B47*('National CEA estimate'!H21-'National CEA estimate'!I21)</f>
        <v>167905.07060613204</v>
      </c>
      <c r="F47" s="87">
        <f>B47*('National CEA estimate'!I21)</f>
        <v>9738494.0951556768</v>
      </c>
      <c r="G47" s="87">
        <f t="shared" si="17"/>
        <v>134324.05648490562</v>
      </c>
      <c r="H47" s="87">
        <f t="shared" si="11"/>
        <v>2481568.4108767561</v>
      </c>
      <c r="I47" s="87">
        <f t="shared" si="12"/>
        <v>0.94587130626898663</v>
      </c>
      <c r="J47" s="106">
        <f>'GBD Estimates'!K25</f>
        <v>6.0628359111879054E-2</v>
      </c>
      <c r="K47" s="106">
        <f t="shared" si="13"/>
        <v>5.7346625230098258E-2</v>
      </c>
      <c r="L47" s="87">
        <f>J47*C40</f>
        <v>1261.012272585928</v>
      </c>
      <c r="M47" s="87">
        <f t="shared" si="14"/>
        <v>1192.7553254920751</v>
      </c>
      <c r="N47" s="142">
        <v>0.5</v>
      </c>
      <c r="O47" s="142">
        <v>0.8</v>
      </c>
      <c r="P47" s="123">
        <f t="shared" ref="P47:P50" si="18">P46</f>
        <v>0.9</v>
      </c>
      <c r="Q47">
        <f t="shared" si="15"/>
        <v>5.081513235979673E-4</v>
      </c>
      <c r="R47">
        <f t="shared" si="16"/>
        <v>1.1839580158660125E-4</v>
      </c>
      <c r="S47" s="4"/>
      <c r="T47" s="124"/>
    </row>
    <row r="48" spans="1:32" ht="12.75" x14ac:dyDescent="0.2">
      <c r="A48" s="122" t="s">
        <v>132</v>
      </c>
      <c r="B48" s="87">
        <f t="shared" si="10"/>
        <v>6210842.3586598439</v>
      </c>
      <c r="C48" s="87">
        <f>B48*(1 - 'National CEA estimate'!G21)</f>
        <v>1173635.0388088259</v>
      </c>
      <c r="D48" s="87">
        <f>B48*('National CEA estimate'!G21-'National CEA estimate'!H21)</f>
        <v>83953.455330850134</v>
      </c>
      <c r="E48" s="87">
        <f>B48*('National CEA estimate'!H21-'National CEA estimate'!I21)</f>
        <v>83953.455330850134</v>
      </c>
      <c r="F48" s="87">
        <f>B48*('National CEA estimate'!I21)</f>
        <v>4869300.4091893174</v>
      </c>
      <c r="G48" s="87">
        <f t="shared" si="17"/>
        <v>67162.764264680096</v>
      </c>
      <c r="H48" s="87">
        <f t="shared" si="11"/>
        <v>1240797.8030735059</v>
      </c>
      <c r="I48" s="87">
        <f t="shared" si="12"/>
        <v>0.94587130626898663</v>
      </c>
      <c r="J48" s="106">
        <f>'GBD Estimates'!K26</f>
        <v>3.0314511766126439E-2</v>
      </c>
      <c r="K48" s="106">
        <f t="shared" si="13"/>
        <v>2.8673626843132578E-2</v>
      </c>
      <c r="L48" s="87">
        <f>J48*C40</f>
        <v>630.51304594925205</v>
      </c>
      <c r="M48" s="87">
        <f t="shared" si="14"/>
        <v>596.38419839165658</v>
      </c>
      <c r="N48" s="142">
        <v>0.5</v>
      </c>
      <c r="O48" s="142">
        <v>0.8</v>
      </c>
      <c r="P48" s="123">
        <f t="shared" si="18"/>
        <v>0.9</v>
      </c>
      <c r="Q48">
        <f t="shared" si="15"/>
        <v>5.081513235979673E-4</v>
      </c>
      <c r="R48">
        <f t="shared" si="16"/>
        <v>1.1839580158660123E-4</v>
      </c>
      <c r="S48" s="4"/>
      <c r="T48" s="124"/>
    </row>
    <row r="49" spans="1:32" ht="12.75" x14ac:dyDescent="0.2">
      <c r="A49" s="122" t="s">
        <v>133</v>
      </c>
      <c r="B49" s="87">
        <f t="shared" si="10"/>
        <v>12421548.590759791</v>
      </c>
      <c r="C49" s="87">
        <f>B49*(1 - 'National CEA estimate'!G21)</f>
        <v>2347244.3543918505</v>
      </c>
      <c r="D49" s="87">
        <f>B49*('National CEA estimate'!G21-'National CEA estimate'!H21)</f>
        <v>167905.07060613204</v>
      </c>
      <c r="E49" s="87">
        <f>B49*('National CEA estimate'!H21-'National CEA estimate'!I21)</f>
        <v>167905.07060613204</v>
      </c>
      <c r="F49" s="87">
        <f>B49*('National CEA estimate'!I21)</f>
        <v>9738494.0951556768</v>
      </c>
      <c r="G49" s="87">
        <f t="shared" si="17"/>
        <v>134324.05648490562</v>
      </c>
      <c r="H49" s="87">
        <f t="shared" si="11"/>
        <v>2481568.4108767561</v>
      </c>
      <c r="I49" s="87">
        <f t="shared" si="12"/>
        <v>0.94587130626898663</v>
      </c>
      <c r="J49" s="106">
        <f>'GBD Estimates'!K27</f>
        <v>6.0628359111879054E-2</v>
      </c>
      <c r="K49" s="106">
        <f t="shared" si="13"/>
        <v>5.7346625230098258E-2</v>
      </c>
      <c r="L49" s="87">
        <f>J49*C40</f>
        <v>1261.012272585928</v>
      </c>
      <c r="M49" s="87">
        <f t="shared" si="14"/>
        <v>1192.7553254920751</v>
      </c>
      <c r="N49" s="142">
        <v>0.5</v>
      </c>
      <c r="O49" s="142">
        <v>0.8</v>
      </c>
      <c r="P49" s="123">
        <f t="shared" si="18"/>
        <v>0.9</v>
      </c>
      <c r="Q49">
        <f t="shared" si="15"/>
        <v>5.081513235979673E-4</v>
      </c>
      <c r="R49">
        <f t="shared" si="16"/>
        <v>1.1839580158660125E-4</v>
      </c>
      <c r="S49" s="4"/>
      <c r="T49" s="124"/>
    </row>
    <row r="50" spans="1:32" ht="12.75" x14ac:dyDescent="0.2">
      <c r="A50" s="122" t="s">
        <v>134</v>
      </c>
      <c r="B50" s="87">
        <f t="shared" si="10"/>
        <v>74529223.481278807</v>
      </c>
      <c r="C50" s="87">
        <f>B50*(1 - 'National CEA estimate'!G21)</f>
        <v>14083453.264738204</v>
      </c>
      <c r="D50" s="87">
        <f>B50*('National CEA estimate'!G21-'National CEA estimate'!H21)</f>
        <v>1007429.5036090082</v>
      </c>
      <c r="E50" s="87">
        <f>B50*('National CEA estimate'!H21-'National CEA estimate'!I21)</f>
        <v>1007429.5036090082</v>
      </c>
      <c r="F50" s="87">
        <f>B50*('National CEA estimate'!I21)</f>
        <v>58430911.209322587</v>
      </c>
      <c r="G50" s="87">
        <f t="shared" si="17"/>
        <v>805943.60288720648</v>
      </c>
      <c r="H50" s="87">
        <f t="shared" si="11"/>
        <v>14889396.86762541</v>
      </c>
      <c r="I50" s="87">
        <f t="shared" si="12"/>
        <v>0.94587130626898663</v>
      </c>
      <c r="J50" s="106">
        <f>'GBD Estimates'!K28</f>
        <v>0.16167584577180211</v>
      </c>
      <c r="K50" s="106">
        <f t="shared" si="13"/>
        <v>0.15292454343231768</v>
      </c>
      <c r="L50" s="87">
        <f>J50*C40</f>
        <v>3362.7040000000006</v>
      </c>
      <c r="M50" s="87">
        <f t="shared" si="14"/>
        <v>3180.6852250759471</v>
      </c>
      <c r="N50" s="142">
        <v>0.5</v>
      </c>
      <c r="O50" s="142">
        <v>0.8</v>
      </c>
      <c r="P50" s="123">
        <f t="shared" si="18"/>
        <v>0.9</v>
      </c>
      <c r="Q50">
        <f t="shared" si="15"/>
        <v>2.2584554833860718E-4</v>
      </c>
      <c r="R50">
        <f t="shared" si="16"/>
        <v>5.2620476398621067E-5</v>
      </c>
      <c r="S50" s="4"/>
      <c r="T50" s="124"/>
    </row>
    <row r="51" spans="1:32" ht="12.75" x14ac:dyDescent="0.2">
      <c r="A51" s="122" t="s">
        <v>135</v>
      </c>
      <c r="B51" s="87">
        <f t="shared" si="10"/>
        <v>253795974.49182943</v>
      </c>
      <c r="C51" s="87">
        <f>B51*(1 - 'National CEA estimate'!G21)</f>
        <v>47958687.593628466</v>
      </c>
      <c r="D51" s="87">
        <f>B51*('National CEA estimate'!G21-'National CEA estimate'!H21)</f>
        <v>3430621.4483033428</v>
      </c>
      <c r="E51" s="87">
        <f>B51*('National CEA estimate'!H21-'National CEA estimate'!I21)</f>
        <v>3430621.4483033428</v>
      </c>
      <c r="F51" s="87">
        <f>B51*('National CEA estimate'!I21)</f>
        <v>198976044.00159428</v>
      </c>
      <c r="G51" s="87">
        <f t="shared" si="17"/>
        <v>5339762.284284153</v>
      </c>
      <c r="H51" s="87">
        <f t="shared" si="11"/>
        <v>53298449.877912618</v>
      </c>
      <c r="I51" s="87">
        <f t="shared" si="12"/>
        <v>0.89981392898826129</v>
      </c>
      <c r="J51" s="106">
        <f>'GBD Estimates'!K30</f>
        <v>5.741800707243841E-2</v>
      </c>
      <c r="K51" s="106">
        <f t="shared" si="13"/>
        <v>5.1665522538526583E-2</v>
      </c>
      <c r="L51" s="87">
        <f>J51*C40</f>
        <v>1194.24</v>
      </c>
      <c r="M51" s="87">
        <f t="shared" si="14"/>
        <v>1074.5937865549411</v>
      </c>
      <c r="N51" s="106">
        <f>AVERAGE(0.375,0.281)</f>
        <v>0.32800000000000001</v>
      </c>
      <c r="O51" s="140">
        <f>AVERAGE(0.6,0.45)</f>
        <v>0.52500000000000002</v>
      </c>
      <c r="P51" s="123">
        <f>AVERAGE(0.675,0.506)</f>
        <v>0.59050000000000002</v>
      </c>
      <c r="Q51">
        <f t="shared" si="15"/>
        <v>2.2406655404342338E-5</v>
      </c>
      <c r="R51">
        <f t="shared" si="16"/>
        <v>5.220598282984525E-6</v>
      </c>
      <c r="T51" s="124"/>
    </row>
    <row r="52" spans="1:32" ht="12.75" x14ac:dyDescent="0.2">
      <c r="A52" s="122" t="s">
        <v>136</v>
      </c>
      <c r="B52" s="87">
        <f t="shared" si="10"/>
        <v>702008399.68014467</v>
      </c>
      <c r="C52" s="87">
        <f>B52*(1 - 'National CEA estimate'!G21)</f>
        <v>132655380.35335149</v>
      </c>
      <c r="D52" s="87">
        <f>B52*('National CEA estimate'!G21-'National CEA estimate'!H21)</f>
        <v>9489216.9887798689</v>
      </c>
      <c r="E52" s="87">
        <f>B52*('National CEA estimate'!H21-'National CEA estimate'!I21)</f>
        <v>9489216.9887798689</v>
      </c>
      <c r="F52" s="87">
        <f>B52*('National CEA estimate'!I21)</f>
        <v>550374585.34923339</v>
      </c>
      <c r="G52" s="87">
        <f t="shared" si="17"/>
        <v>24103966.753927834</v>
      </c>
      <c r="H52" s="87">
        <f t="shared" si="11"/>
        <v>156759347.10727933</v>
      </c>
      <c r="I52" s="87">
        <f t="shared" si="12"/>
        <v>0.84623585643392529</v>
      </c>
      <c r="J52" s="106">
        <f>'GBD Estimates'!K31</f>
        <v>0.22790896699608876</v>
      </c>
      <c r="K52" s="106">
        <f t="shared" si="13"/>
        <v>0.19286473987490638</v>
      </c>
      <c r="L52" s="87">
        <f>J52*C40</f>
        <v>4740.29</v>
      </c>
      <c r="M52" s="87">
        <f t="shared" si="14"/>
        <v>4011.4033678951719</v>
      </c>
      <c r="N52" s="106">
        <f>AVERAGE(0.211,0.158,0.119,0.089,0.067,0.05,0.038)</f>
        <v>0.10457142857142857</v>
      </c>
      <c r="O52" s="142">
        <f>AVERAGE(0.338,0.253,0.19,0.142,0.107,0.08,0.06)</f>
        <v>0.16714285714285718</v>
      </c>
      <c r="P52" s="123">
        <f>AVERAGE(0.38,0.285,0.214,0.16,0.12,0.09,0.068)</f>
        <v>0.18814285714285714</v>
      </c>
      <c r="Q52">
        <f t="shared" si="15"/>
        <v>3.0239281340945816E-5</v>
      </c>
      <c r="R52">
        <f t="shared" si="16"/>
        <v>7.0455468430434989E-6</v>
      </c>
      <c r="T52" s="124"/>
    </row>
    <row r="53" spans="1:32" ht="12.75" x14ac:dyDescent="0.2">
      <c r="A53" s="122" t="s">
        <v>137</v>
      </c>
      <c r="B53" s="87">
        <f t="shared" si="10"/>
        <v>187034120.04369521</v>
      </c>
      <c r="C53" s="87">
        <f>B53*(1 - 'National CEA estimate'!G21)</f>
        <v>35342999.2358431</v>
      </c>
      <c r="D53" s="87">
        <f>B53*('National CEA estimate'!G21-'National CEA estimate'!H21)</f>
        <v>2528185.3467975305</v>
      </c>
      <c r="E53" s="87">
        <f>B53*('National CEA estimate'!H21-'National CEA estimate'!I21)</f>
        <v>2528185.3467975305</v>
      </c>
      <c r="F53" s="87">
        <f>B53*('National CEA estimate'!I21)</f>
        <v>146634750.11425704</v>
      </c>
      <c r="G53" s="87">
        <f t="shared" si="17"/>
        <v>7370292.3322515022</v>
      </c>
      <c r="H53" s="87">
        <f t="shared" si="11"/>
        <v>42713291.568094604</v>
      </c>
      <c r="I53" s="87">
        <f t="shared" si="12"/>
        <v>0.82744733403414727</v>
      </c>
      <c r="J53" s="106">
        <f>'GBD Estimates'!K32</f>
        <v>0.20805469480577241</v>
      </c>
      <c r="K53" s="106">
        <f t="shared" si="13"/>
        <v>0.17215430255032452</v>
      </c>
      <c r="L53" s="87">
        <f>J53*C40</f>
        <v>4327.34</v>
      </c>
      <c r="M53" s="87">
        <f t="shared" si="14"/>
        <v>3580.6459464593272</v>
      </c>
      <c r="N53" s="106">
        <f>AVERAGE(0.028,0.021,0.016,0.012)</f>
        <v>1.925E-2</v>
      </c>
      <c r="O53" s="142">
        <f>AVERAGE(0.045,0.034,0.025,0.019)</f>
        <v>3.0750000000000003E-2</v>
      </c>
      <c r="P53" s="123">
        <f>AVERAGE(0.051,0.038,0.029,0.021)</f>
        <v>3.4749999999999996E-2</v>
      </c>
      <c r="Q53">
        <f t="shared" si="15"/>
        <v>1.0131132116337245E-4</v>
      </c>
      <c r="R53">
        <f t="shared" si="16"/>
        <v>2.3604848638404808E-5</v>
      </c>
      <c r="T53" s="124"/>
    </row>
    <row r="54" spans="1:32" ht="12.75" x14ac:dyDescent="0.2">
      <c r="A54" s="122" t="s">
        <v>138</v>
      </c>
      <c r="B54" s="87">
        <f t="shared" si="10"/>
        <v>44591513.345568866</v>
      </c>
      <c r="C54" s="87">
        <f>B54*(1 - 'National CEA estimate'!G21)</f>
        <v>8426258.3839212898</v>
      </c>
      <c r="D54" s="87">
        <f>B54*('National CEA estimate'!G21-'National CEA estimate'!H21)</f>
        <v>602754.24936079176</v>
      </c>
      <c r="E54" s="87">
        <f>B54*('National CEA estimate'!H21-'National CEA estimate'!I21)</f>
        <v>602754.24936079176</v>
      </c>
      <c r="F54" s="87">
        <f>B54*('National CEA estimate'!I21)</f>
        <v>34959746.462925993</v>
      </c>
      <c r="G54" s="87">
        <f t="shared" si="17"/>
        <v>1789979.2025184315</v>
      </c>
      <c r="H54" s="87">
        <f t="shared" si="11"/>
        <v>10216237.586439721</v>
      </c>
      <c r="I54" s="87">
        <f t="shared" si="12"/>
        <v>0.82479076202237922</v>
      </c>
      <c r="J54" s="106">
        <f>'GBD Estimates'!K33</f>
        <v>0.10242871669619527</v>
      </c>
      <c r="K54" s="171">
        <f t="shared" si="13"/>
        <v>8.4482259296829301E-2</v>
      </c>
      <c r="L54" s="87">
        <f>J54*C40</f>
        <v>2130.42</v>
      </c>
      <c r="M54" s="87">
        <f t="shared" si="14"/>
        <v>1757.1507352277172</v>
      </c>
      <c r="N54" s="106">
        <f>AVERAGE(0.009,0.007,0.005)</f>
        <v>7.0000000000000001E-3</v>
      </c>
      <c r="O54" s="142">
        <f>AVERAGE(0.014,0.011,0.008)</f>
        <v>1.1000000000000001E-2</v>
      </c>
      <c r="P54" s="123">
        <f>AVERAGE(0.016,0.012,0.009)</f>
        <v>1.2333333333333333E-2</v>
      </c>
      <c r="Q54">
        <f t="shared" si="15"/>
        <v>2.0853273839556769E-4</v>
      </c>
      <c r="R54">
        <f t="shared" si="16"/>
        <v>4.8586709456110157E-5</v>
      </c>
      <c r="T54" s="124"/>
    </row>
    <row r="55" spans="1:32" ht="12.75" x14ac:dyDescent="0.2">
      <c r="A55" s="145" t="s">
        <v>103</v>
      </c>
      <c r="B55" s="146">
        <f t="shared" si="10"/>
        <v>1311636774.868042</v>
      </c>
      <c r="C55" s="146">
        <f t="shared" ref="C55:H55" si="19">SUM(C43:C54)</f>
        <v>250174239.12670368</v>
      </c>
      <c r="D55" s="146">
        <f t="shared" si="19"/>
        <v>19211073.471773393</v>
      </c>
      <c r="E55" s="146">
        <f t="shared" si="19"/>
        <v>19159551.915861372</v>
      </c>
      <c r="F55" s="146">
        <f t="shared" si="19"/>
        <v>1023100628.9544977</v>
      </c>
      <c r="G55" s="146">
        <f t="shared" si="19"/>
        <v>40964791.867093347</v>
      </c>
      <c r="H55" s="146">
        <f t="shared" si="19"/>
        <v>291139030.99379706</v>
      </c>
      <c r="I55" s="147"/>
      <c r="J55" s="148">
        <f t="shared" ref="J55:M55" si="20">SUM(J43:J54)</f>
        <v>1</v>
      </c>
      <c r="K55" s="148">
        <f t="shared" si="20"/>
        <v>0.87454160178670515</v>
      </c>
      <c r="L55" s="146">
        <f t="shared" si="20"/>
        <v>20799.050000000003</v>
      </c>
      <c r="M55" s="87">
        <f t="shared" si="20"/>
        <v>18189.634502641773</v>
      </c>
      <c r="P55" s="147"/>
      <c r="Q55" s="147">
        <f t="shared" si="15"/>
        <v>7.2707863791800803E-5</v>
      </c>
      <c r="R55" s="147">
        <f t="shared" si="16"/>
        <v>1.7136388605498841E-5</v>
      </c>
      <c r="S55" s="147">
        <f>SUM(M43:M50)/SUM(C43:C50)</f>
        <v>3.0110762259159211E-4</v>
      </c>
      <c r="T55" s="149">
        <f>SUM(M44:M50)/SUM(C44:C50)</f>
        <v>3.2598777751827987E-4</v>
      </c>
    </row>
    <row r="56" spans="1:32" ht="12.75" x14ac:dyDescent="0.2">
      <c r="L56" s="4"/>
      <c r="M56" s="4"/>
      <c r="N56" s="4"/>
    </row>
    <row r="59" spans="1:32" ht="12.75" x14ac:dyDescent="0.2">
      <c r="A59" s="109" t="s">
        <v>52</v>
      </c>
      <c r="B59" s="109"/>
      <c r="C59" s="110"/>
      <c r="D59" s="110"/>
      <c r="E59" s="110"/>
      <c r="F59" s="110"/>
      <c r="G59" s="110"/>
      <c r="H59" s="110"/>
      <c r="I59" s="110"/>
      <c r="J59" s="110"/>
      <c r="K59" s="110"/>
      <c r="L59" s="110"/>
      <c r="M59" s="110"/>
      <c r="N59" s="110"/>
      <c r="O59" s="110"/>
      <c r="P59" s="110"/>
      <c r="Q59" s="110"/>
      <c r="R59" s="110"/>
      <c r="S59" s="110"/>
      <c r="T59" s="110"/>
    </row>
    <row r="60" spans="1:32" ht="25.5" x14ac:dyDescent="0.2">
      <c r="A60" s="25"/>
      <c r="B60" s="112" t="s">
        <v>140</v>
      </c>
      <c r="C60" s="113">
        <f>'GBD Estimates'!R7</f>
        <v>20987.11</v>
      </c>
      <c r="D60" s="113"/>
      <c r="E60" s="113"/>
      <c r="F60" s="113"/>
      <c r="G60" s="114"/>
      <c r="H60" s="114"/>
      <c r="I60" s="114"/>
      <c r="J60" s="114"/>
      <c r="K60" s="114"/>
      <c r="L60" s="114"/>
      <c r="M60" s="114"/>
      <c r="N60" s="115" t="s">
        <v>141</v>
      </c>
      <c r="O60" s="115"/>
      <c r="P60" s="115"/>
      <c r="Q60" s="114"/>
      <c r="R60" s="114"/>
      <c r="S60" s="114"/>
      <c r="T60" s="114"/>
    </row>
    <row r="61" spans="1:32" ht="76.5" x14ac:dyDescent="0.2">
      <c r="A61" s="116" t="s">
        <v>119</v>
      </c>
      <c r="B61" s="117" t="s">
        <v>142</v>
      </c>
      <c r="C61" s="118" t="s">
        <v>143</v>
      </c>
      <c r="D61" s="118" t="s">
        <v>144</v>
      </c>
      <c r="E61" s="118" t="s">
        <v>145</v>
      </c>
      <c r="F61" s="118" t="s">
        <v>146</v>
      </c>
      <c r="G61" s="117" t="s">
        <v>147</v>
      </c>
      <c r="H61" s="115" t="s">
        <v>148</v>
      </c>
      <c r="I61" s="115" t="s">
        <v>149</v>
      </c>
      <c r="J61" s="115" t="s">
        <v>150</v>
      </c>
      <c r="K61" s="119" t="s">
        <v>151</v>
      </c>
      <c r="L61" s="115" t="s">
        <v>152</v>
      </c>
      <c r="M61" s="119" t="s">
        <v>153</v>
      </c>
      <c r="N61" s="12" t="s">
        <v>154</v>
      </c>
      <c r="O61" s="12" t="s">
        <v>155</v>
      </c>
      <c r="P61" s="12" t="s">
        <v>156</v>
      </c>
      <c r="Q61" s="115" t="s">
        <v>157</v>
      </c>
      <c r="R61" s="115" t="s">
        <v>158</v>
      </c>
      <c r="S61" s="115" t="s">
        <v>159</v>
      </c>
      <c r="T61" s="115" t="s">
        <v>160</v>
      </c>
    </row>
    <row r="62" spans="1:32" ht="12.75" x14ac:dyDescent="0.2">
      <c r="A62" s="116"/>
      <c r="B62" s="119" t="s">
        <v>161</v>
      </c>
      <c r="C62" s="119" t="s">
        <v>162</v>
      </c>
      <c r="D62" s="115"/>
      <c r="E62" s="115"/>
      <c r="F62" s="115"/>
      <c r="G62" s="119" t="s">
        <v>163</v>
      </c>
      <c r="H62" s="119" t="s">
        <v>164</v>
      </c>
      <c r="I62" s="115"/>
      <c r="J62" s="119" t="s">
        <v>165</v>
      </c>
      <c r="K62" s="119" t="s">
        <v>166</v>
      </c>
      <c r="L62" s="120" t="s">
        <v>167</v>
      </c>
      <c r="M62" s="119" t="s">
        <v>168</v>
      </c>
      <c r="N62" s="115"/>
      <c r="O62" s="115"/>
      <c r="P62" s="115"/>
      <c r="Q62" s="119" t="s">
        <v>169</v>
      </c>
      <c r="R62" s="115"/>
      <c r="S62" s="115"/>
      <c r="T62" s="115"/>
      <c r="U62" s="121"/>
      <c r="V62" s="121"/>
      <c r="W62" s="121"/>
      <c r="X62" s="121"/>
      <c r="Y62" s="121"/>
      <c r="Z62" s="121"/>
      <c r="AA62" s="121"/>
      <c r="AB62" s="121"/>
      <c r="AC62" s="121"/>
      <c r="AD62" s="121"/>
      <c r="AE62" s="121"/>
      <c r="AF62" s="121"/>
    </row>
    <row r="63" spans="1:32" ht="12.75" x14ac:dyDescent="0.2">
      <c r="A63" s="122" t="s">
        <v>123</v>
      </c>
      <c r="B63" s="87">
        <f t="shared" ref="B63:B75" si="21">B4</f>
        <v>2858657.7578734863</v>
      </c>
      <c r="C63" s="87">
        <f>B63</f>
        <v>2858657.7578734863</v>
      </c>
      <c r="E63" s="4">
        <v>0</v>
      </c>
      <c r="F63" s="4">
        <v>0</v>
      </c>
      <c r="G63" s="4">
        <v>0</v>
      </c>
      <c r="H63" s="87">
        <f t="shared" ref="H63:H74" si="22">C63+G63</f>
        <v>2858657.7578734863</v>
      </c>
      <c r="I63" s="87">
        <f t="shared" ref="I63:I74" si="23">C63/H63</f>
        <v>1</v>
      </c>
      <c r="J63" s="106">
        <f>'GBD Estimates'!M21</f>
        <v>3.4520500656848412E-2</v>
      </c>
      <c r="K63" s="106">
        <f t="shared" ref="K63:K74" si="24">I63*J63</f>
        <v>3.4520500656848412E-2</v>
      </c>
      <c r="L63" s="87">
        <f>J63*C60</f>
        <v>724.48554454034991</v>
      </c>
      <c r="M63" s="87">
        <f t="shared" ref="M63:M74" si="25">I63*L63</f>
        <v>724.48554454034991</v>
      </c>
      <c r="N63" s="4">
        <v>0</v>
      </c>
      <c r="O63" s="4">
        <v>0</v>
      </c>
      <c r="P63" s="123">
        <v>0</v>
      </c>
      <c r="Q63">
        <f t="shared" ref="Q63:Q75" si="26">M63/C63</f>
        <v>2.5343556518611871E-4</v>
      </c>
      <c r="R63" s="4">
        <v>0</v>
      </c>
      <c r="T63" s="124"/>
    </row>
    <row r="64" spans="1:32" ht="12.75" x14ac:dyDescent="0.2">
      <c r="A64" s="122" t="s">
        <v>128</v>
      </c>
      <c r="B64" s="87">
        <f t="shared" si="21"/>
        <v>1905771.8385823241</v>
      </c>
      <c r="C64" s="87">
        <f>B64*(1 - 'National CEA estimate'!P23)</f>
        <v>1018602.1895871044</v>
      </c>
      <c r="D64" s="87">
        <f>B64*('National CEA estimate'!P23)</f>
        <v>887169.64899521985</v>
      </c>
      <c r="E64" s="88">
        <v>0</v>
      </c>
      <c r="F64" s="88">
        <v>0</v>
      </c>
      <c r="G64" s="87">
        <f>(D64*(1-N64))</f>
        <v>470199.91396746656</v>
      </c>
      <c r="H64" s="87">
        <f t="shared" si="22"/>
        <v>1488802.103554571</v>
      </c>
      <c r="I64" s="87">
        <f t="shared" si="23"/>
        <v>0.68417567865813278</v>
      </c>
      <c r="J64" s="106">
        <f>'GBD Estimates'!M22</f>
        <v>2.3013667104565608E-2</v>
      </c>
      <c r="K64" s="106">
        <f t="shared" si="24"/>
        <v>1.574539130967852E-2</v>
      </c>
      <c r="L64" s="87">
        <f>J64*C60</f>
        <v>482.9903630268999</v>
      </c>
      <c r="M64" s="87">
        <f t="shared" si="25"/>
        <v>330.45025940926718</v>
      </c>
      <c r="N64" s="4">
        <f>SUM('National CEA estimate'!C23)</f>
        <v>0.47</v>
      </c>
      <c r="O64" s="4">
        <f>N64</f>
        <v>0.47</v>
      </c>
      <c r="P64" s="123">
        <f>N64</f>
        <v>0.47</v>
      </c>
      <c r="Q64">
        <f t="shared" si="26"/>
        <v>3.2441542222014751E-4</v>
      </c>
      <c r="R64">
        <f t="shared" ref="R64:R75" si="27">M64/(B64-C64)</f>
        <v>3.72476966252762E-4</v>
      </c>
      <c r="T64" s="124"/>
    </row>
    <row r="65" spans="1:20" ht="12.75" x14ac:dyDescent="0.2">
      <c r="A65" s="122" t="s">
        <v>129</v>
      </c>
      <c r="B65" s="87">
        <f t="shared" si="21"/>
        <v>1905771.8385823241</v>
      </c>
      <c r="C65" s="87">
        <f>B65*(1 - 'National CEA estimate'!P23)</f>
        <v>1018602.1895871044</v>
      </c>
      <c r="D65" s="87">
        <f>B65*('National CEA estimate'!P23-'National CEA estimate'!Q23)</f>
        <v>14786.160816586975</v>
      </c>
      <c r="E65" s="87">
        <f>B65*('National CEA estimate'!Q23)</f>
        <v>872383.4881786328</v>
      </c>
      <c r="F65" s="88">
        <v>0</v>
      </c>
      <c r="G65" s="87">
        <f>((D65)*(1-N65))+(E65*(1-O65))</f>
        <v>225932.5372774493</v>
      </c>
      <c r="H65" s="87">
        <f t="shared" si="22"/>
        <v>1244534.7268645538</v>
      </c>
      <c r="I65" s="87">
        <f t="shared" si="23"/>
        <v>0.81846023867356632</v>
      </c>
      <c r="J65" s="106">
        <f>'GBD Estimates'!M23</f>
        <v>2.3013667104565608E-2</v>
      </c>
      <c r="K65" s="106">
        <f t="shared" si="24"/>
        <v>1.8835771471156768E-2</v>
      </c>
      <c r="L65" s="87">
        <f>J65*C60</f>
        <v>482.9903630268999</v>
      </c>
      <c r="M65" s="87">
        <f t="shared" si="25"/>
        <v>395.30840780002893</v>
      </c>
      <c r="N65" s="4">
        <f>N64</f>
        <v>0.47</v>
      </c>
      <c r="O65" s="4">
        <f>SUM('National CEA estimate'!C23:D23)</f>
        <v>0.75</v>
      </c>
      <c r="P65" s="123">
        <f>O65</f>
        <v>0.75</v>
      </c>
      <c r="Q65">
        <f t="shared" si="26"/>
        <v>3.8808910077080163E-4</v>
      </c>
      <c r="R65">
        <f t="shared" si="27"/>
        <v>4.4558378236647607E-4</v>
      </c>
      <c r="T65" s="124"/>
    </row>
    <row r="66" spans="1:20" ht="12.75" x14ac:dyDescent="0.2">
      <c r="A66" s="122" t="s">
        <v>130</v>
      </c>
      <c r="B66" s="87">
        <f t="shared" si="21"/>
        <v>11962121.451101553</v>
      </c>
      <c r="C66" s="87">
        <f>B66*(1 - 'National CEA estimate'!P23)</f>
        <v>6393547.6721404856</v>
      </c>
      <c r="D66" s="87">
        <f>B66*('National CEA estimate'!P23-'National CEA estimate'!Q23)</f>
        <v>92809.562982684307</v>
      </c>
      <c r="E66" s="87">
        <f>B66*('National CEA estimate'!Q23-'National CEA estimate'!R23)</f>
        <v>92809.562982684307</v>
      </c>
      <c r="F66" s="87">
        <f>B66*('National CEA estimate'!R23)</f>
        <v>5382954.6529956991</v>
      </c>
      <c r="G66" s="87">
        <f t="shared" ref="G66:G74" si="28">((D66)*(1-N66))+(E66*(1-O66))+(D66*(1-P66))</f>
        <v>77031.937275627977</v>
      </c>
      <c r="H66" s="87">
        <f t="shared" si="22"/>
        <v>6470579.6094161132</v>
      </c>
      <c r="I66" s="87">
        <f t="shared" si="23"/>
        <v>0.98809504836884643</v>
      </c>
      <c r="J66" s="106">
        <f>'GBD Estimates'!M24</f>
        <v>0.14445185691526449</v>
      </c>
      <c r="K66" s="106">
        <f t="shared" si="24"/>
        <v>0.14273216454565796</v>
      </c>
      <c r="L66" s="87">
        <f>J66*C60</f>
        <v>3031.6270107849168</v>
      </c>
      <c r="M66" s="87">
        <f t="shared" si="25"/>
        <v>2995.5356378578235</v>
      </c>
      <c r="N66" s="4">
        <f>N64</f>
        <v>0.47</v>
      </c>
      <c r="O66" s="4">
        <f>O65</f>
        <v>0.75</v>
      </c>
      <c r="P66" s="123">
        <f>SUM('National CEA estimate'!C23:E23)</f>
        <v>0.95</v>
      </c>
      <c r="Q66">
        <f t="shared" si="26"/>
        <v>4.6852479897986795E-4</v>
      </c>
      <c r="R66">
        <f t="shared" si="27"/>
        <v>5.3793588031021884E-4</v>
      </c>
      <c r="T66" s="124"/>
    </row>
    <row r="67" spans="1:20" ht="12.75" x14ac:dyDescent="0.2">
      <c r="A67" s="122" t="s">
        <v>131</v>
      </c>
      <c r="B67" s="87">
        <f t="shared" si="21"/>
        <v>12421548.590759791</v>
      </c>
      <c r="C67" s="87">
        <f>B67*(1 - 'National CEA estimate'!P23)</f>
        <v>6639103.5571302343</v>
      </c>
      <c r="D67" s="87">
        <f>B67*('National CEA estimate'!P23-'National CEA estimate'!Q23)</f>
        <v>96374.083893825809</v>
      </c>
      <c r="E67" s="87">
        <f>B67*('National CEA estimate'!Q23-'National CEA estimate'!R23)</f>
        <v>96374.083893825809</v>
      </c>
      <c r="F67" s="87">
        <f>B67*('National CEA estimate'!R23)</f>
        <v>5589696.8658419065</v>
      </c>
      <c r="G67" s="87">
        <f t="shared" si="28"/>
        <v>79990.489631875433</v>
      </c>
      <c r="H67" s="87">
        <f t="shared" si="22"/>
        <v>6719094.0467621097</v>
      </c>
      <c r="I67" s="87">
        <f t="shared" si="23"/>
        <v>0.98809504836884632</v>
      </c>
      <c r="J67" s="106">
        <f>'GBD Estimates'!M25</f>
        <v>0.14999979452082943</v>
      </c>
      <c r="K67" s="106">
        <f t="shared" si="24"/>
        <v>0.14821405422237596</v>
      </c>
      <c r="L67" s="87">
        <f>J67*C60</f>
        <v>3148.0621875860447</v>
      </c>
      <c r="M67" s="87">
        <f t="shared" si="25"/>
        <v>3110.5846595109692</v>
      </c>
      <c r="N67" s="4">
        <f>N64</f>
        <v>0.47</v>
      </c>
      <c r="O67" s="4">
        <f>O65</f>
        <v>0.75</v>
      </c>
      <c r="P67" s="123">
        <f>P66</f>
        <v>0.95</v>
      </c>
      <c r="Q67">
        <f t="shared" si="26"/>
        <v>4.6852479897986795E-4</v>
      </c>
      <c r="R67">
        <f t="shared" si="27"/>
        <v>5.3793588031021895E-4</v>
      </c>
      <c r="T67" s="124"/>
    </row>
    <row r="68" spans="1:20" ht="12.75" x14ac:dyDescent="0.2">
      <c r="A68" s="122" t="s">
        <v>132</v>
      </c>
      <c r="B68" s="87">
        <f t="shared" si="21"/>
        <v>6210842.3586598439</v>
      </c>
      <c r="C68" s="87">
        <f>B68*(1 - 'National CEA estimate'!P23)</f>
        <v>3319588.1572147445</v>
      </c>
      <c r="D68" s="87">
        <f>B68*('National CEA estimate'!P23-'National CEA estimate'!Q23)</f>
        <v>48187.570024084918</v>
      </c>
      <c r="E68" s="87">
        <f>B68*('National CEA estimate'!Q23-'National CEA estimate'!R23)</f>
        <v>48187.570024084918</v>
      </c>
      <c r="F68" s="87">
        <f>B68*('National CEA estimate'!R23)</f>
        <v>2794879.0613969299</v>
      </c>
      <c r="G68" s="87">
        <f t="shared" si="28"/>
        <v>39995.683119990485</v>
      </c>
      <c r="H68" s="87">
        <f t="shared" si="22"/>
        <v>3359583.8403347349</v>
      </c>
      <c r="I68" s="87">
        <f t="shared" si="23"/>
        <v>0.98809504836884632</v>
      </c>
      <c r="J68" s="106">
        <f>'GBD Estimates'!M26</f>
        <v>7.5000719177097011E-2</v>
      </c>
      <c r="K68" s="106">
        <f t="shared" si="24"/>
        <v>7.4107839242991927E-2</v>
      </c>
      <c r="L68" s="87">
        <f>J68*C60</f>
        <v>1574.0483434488444</v>
      </c>
      <c r="M68" s="87">
        <f t="shared" si="25"/>
        <v>1555.3093740549884</v>
      </c>
      <c r="N68" s="4">
        <f>N64</f>
        <v>0.47</v>
      </c>
      <c r="O68" s="4">
        <f>O65</f>
        <v>0.75</v>
      </c>
      <c r="P68" s="123">
        <f>P66</f>
        <v>0.95</v>
      </c>
      <c r="Q68">
        <f t="shared" si="26"/>
        <v>4.6852479897986795E-4</v>
      </c>
      <c r="R68">
        <f t="shared" si="27"/>
        <v>5.3793588031021884E-4</v>
      </c>
      <c r="T68" s="124"/>
    </row>
    <row r="69" spans="1:20" ht="12.75" x14ac:dyDescent="0.2">
      <c r="A69" s="122" t="s">
        <v>133</v>
      </c>
      <c r="B69" s="87">
        <f t="shared" si="21"/>
        <v>12421548.590759791</v>
      </c>
      <c r="C69" s="87">
        <f>B69*(1 - 'National CEA estimate'!P23)</f>
        <v>6639103.5571302343</v>
      </c>
      <c r="D69" s="87">
        <f>B69*('National CEA estimate'!P23-'National CEA estimate'!Q23)</f>
        <v>96374.083893825809</v>
      </c>
      <c r="E69" s="87">
        <f>B69*('National CEA estimate'!Q23-'National CEA estimate'!R23)</f>
        <v>96374.083893825809</v>
      </c>
      <c r="F69" s="87">
        <f>B69*('National CEA estimate'!R23)</f>
        <v>5589696.8658419065</v>
      </c>
      <c r="G69" s="87">
        <f t="shared" si="28"/>
        <v>79990.489631875433</v>
      </c>
      <c r="H69" s="87">
        <f t="shared" si="22"/>
        <v>6719094.0467621097</v>
      </c>
      <c r="I69" s="87">
        <f t="shared" si="23"/>
        <v>0.98809504836884632</v>
      </c>
      <c r="J69" s="106">
        <f>'GBD Estimates'!M27</f>
        <v>0.14999979452082943</v>
      </c>
      <c r="K69" s="106">
        <f t="shared" si="24"/>
        <v>0.14821405422237596</v>
      </c>
      <c r="L69" s="87">
        <f>J69*C60</f>
        <v>3148.0621875860447</v>
      </c>
      <c r="M69" s="87">
        <f t="shared" si="25"/>
        <v>3110.5846595109692</v>
      </c>
      <c r="N69" s="4">
        <f>N64</f>
        <v>0.47</v>
      </c>
      <c r="O69" s="4">
        <f>O65</f>
        <v>0.75</v>
      </c>
      <c r="P69" s="123">
        <f>P66</f>
        <v>0.95</v>
      </c>
      <c r="Q69">
        <f t="shared" si="26"/>
        <v>4.6852479897986795E-4</v>
      </c>
      <c r="R69">
        <f t="shared" si="27"/>
        <v>5.3793588031021895E-4</v>
      </c>
      <c r="T69" s="124"/>
    </row>
    <row r="70" spans="1:20" ht="12.75" x14ac:dyDescent="0.2">
      <c r="A70" s="122" t="s">
        <v>134</v>
      </c>
      <c r="B70" s="87">
        <f t="shared" si="21"/>
        <v>74529223.481278807</v>
      </c>
      <c r="C70" s="87">
        <f>B70*(1 - 'National CEA estimate'!P23)</f>
        <v>39834584.96413178</v>
      </c>
      <c r="D70" s="87">
        <f>B70*('National CEA estimate'!P23-'National CEA estimate'!Q23)</f>
        <v>578243.97528578294</v>
      </c>
      <c r="E70" s="87">
        <f>B70*('National CEA estimate'!Q23-'National CEA estimate'!R23)</f>
        <v>578243.97528578294</v>
      </c>
      <c r="F70" s="87">
        <f>B70*('National CEA estimate'!R23)</f>
        <v>33538150.566575464</v>
      </c>
      <c r="G70" s="87">
        <f t="shared" si="28"/>
        <v>479942.49948719988</v>
      </c>
      <c r="H70" s="87">
        <f t="shared" si="22"/>
        <v>40314527.463618979</v>
      </c>
      <c r="I70" s="87">
        <f t="shared" si="23"/>
        <v>0.98809504836884632</v>
      </c>
      <c r="J70" s="106">
        <f>'GBD Estimates'!M28</f>
        <v>0.4</v>
      </c>
      <c r="K70" s="106">
        <f t="shared" si="24"/>
        <v>0.39523801934753855</v>
      </c>
      <c r="L70" s="87">
        <f>J70*C60</f>
        <v>8394.844000000001</v>
      </c>
      <c r="M70" s="87">
        <f t="shared" si="25"/>
        <v>8294.9037882289194</v>
      </c>
      <c r="N70" s="4">
        <f>N64</f>
        <v>0.47</v>
      </c>
      <c r="O70" s="4">
        <f>O65</f>
        <v>0.75</v>
      </c>
      <c r="P70" s="123">
        <f>P66</f>
        <v>0.95</v>
      </c>
      <c r="Q70">
        <f t="shared" si="26"/>
        <v>2.0823371940985184E-4</v>
      </c>
      <c r="R70">
        <f t="shared" si="27"/>
        <v>2.3908315932242251E-4</v>
      </c>
      <c r="T70" s="124"/>
    </row>
    <row r="71" spans="1:20" ht="12.75" x14ac:dyDescent="0.2">
      <c r="A71" s="122" t="s">
        <v>135</v>
      </c>
      <c r="B71" s="87">
        <f t="shared" si="21"/>
        <v>253795974.49182943</v>
      </c>
      <c r="C71" s="87">
        <f>B71*(1 - 'National CEA estimate'!P23)</f>
        <v>135649572.57321918</v>
      </c>
      <c r="D71" s="87">
        <f>B71*('National CEA estimate'!P23-'National CEA estimate'!Q23)</f>
        <v>1969106.6986435011</v>
      </c>
      <c r="E71" s="87">
        <f>B71*('National CEA estimate'!Q23-'National CEA estimate'!R23)</f>
        <v>1969106.6986435011</v>
      </c>
      <c r="F71" s="87">
        <f>B71*('National CEA estimate'!R23)</f>
        <v>114208188.52132325</v>
      </c>
      <c r="G71" s="87">
        <f t="shared" si="28"/>
        <v>2252813.5190401631</v>
      </c>
      <c r="H71" s="87">
        <f t="shared" si="22"/>
        <v>137902386.09225935</v>
      </c>
      <c r="I71" s="87">
        <f t="shared" si="23"/>
        <v>0.9836637089257253</v>
      </c>
      <c r="J71" s="106">
        <f>'GBD Estimates'!M30</f>
        <v>0</v>
      </c>
      <c r="K71" s="106">
        <f t="shared" si="24"/>
        <v>0</v>
      </c>
      <c r="L71" s="87">
        <f>J71*C60</f>
        <v>0</v>
      </c>
      <c r="M71" s="87">
        <f t="shared" si="25"/>
        <v>0</v>
      </c>
      <c r="N71" s="106">
        <f t="shared" ref="N71:N74" si="29">(P71/P70)*N70</f>
        <v>0.40197368421052632</v>
      </c>
      <c r="O71" s="140">
        <f t="shared" ref="O71:O74" si="30">(P71/P70)*O70</f>
        <v>0.64144736842105265</v>
      </c>
      <c r="P71" s="106">
        <f>AVERAGE(0.855,0.77)</f>
        <v>0.8125</v>
      </c>
      <c r="Q71">
        <f t="shared" si="26"/>
        <v>0</v>
      </c>
      <c r="R71">
        <f t="shared" si="27"/>
        <v>0</v>
      </c>
      <c r="T71" s="124"/>
    </row>
    <row r="72" spans="1:20" ht="12.75" x14ac:dyDescent="0.2">
      <c r="A72" s="122" t="s">
        <v>136</v>
      </c>
      <c r="B72" s="87">
        <f t="shared" si="21"/>
        <v>702008399.68014467</v>
      </c>
      <c r="C72" s="87">
        <f>B72*(1 - 'National CEA estimate'!P23)</f>
        <v>375211386.03593946</v>
      </c>
      <c r="D72" s="87">
        <f>B72*('National CEA estimate'!P23-'National CEA estimate'!Q23)</f>
        <v>5446616.8940700796</v>
      </c>
      <c r="E72" s="87">
        <f>B72*('National CEA estimate'!Q23-'National CEA estimate'!R23)</f>
        <v>5446616.8940700796</v>
      </c>
      <c r="F72" s="87">
        <f>B72*('National CEA estimate'!R23)</f>
        <v>315903779.85606509</v>
      </c>
      <c r="G72" s="87">
        <f t="shared" si="28"/>
        <v>9918404.0297204386</v>
      </c>
      <c r="H72" s="87">
        <f t="shared" si="22"/>
        <v>385129790.06565988</v>
      </c>
      <c r="I72" s="87">
        <f t="shared" si="23"/>
        <v>0.97424659352362886</v>
      </c>
      <c r="J72" s="106">
        <f>'GBD Estimates'!M31</f>
        <v>0</v>
      </c>
      <c r="K72" s="106">
        <f t="shared" si="24"/>
        <v>0</v>
      </c>
      <c r="L72" s="87">
        <f>J72*C60</f>
        <v>0</v>
      </c>
      <c r="M72" s="87">
        <f t="shared" si="25"/>
        <v>0</v>
      </c>
      <c r="N72" s="106">
        <f t="shared" si="29"/>
        <v>0.25535488721804511</v>
      </c>
      <c r="O72" s="140">
        <f t="shared" si="30"/>
        <v>0.40748120300751883</v>
      </c>
      <c r="P72" s="106">
        <f>AVERAGE(0.693,0.623,0.561,0.505,0.454,0.409,0.368)</f>
        <v>0.51614285714285713</v>
      </c>
      <c r="Q72">
        <f t="shared" si="26"/>
        <v>0</v>
      </c>
      <c r="R72">
        <f t="shared" si="27"/>
        <v>0</v>
      </c>
      <c r="T72" s="124"/>
    </row>
    <row r="73" spans="1:20" ht="12.75" x14ac:dyDescent="0.2">
      <c r="A73" s="122" t="s">
        <v>137</v>
      </c>
      <c r="B73" s="87">
        <f t="shared" si="21"/>
        <v>187034120.04369521</v>
      </c>
      <c r="C73" s="87">
        <f>B73*(1 - 'National CEA estimate'!P23)</f>
        <v>99966512.437147453</v>
      </c>
      <c r="D73" s="87">
        <f>B73*('National CEA estimate'!P23-'National CEA estimate'!Q23)</f>
        <v>1451126.7934424605</v>
      </c>
      <c r="E73" s="87">
        <f>B73*('National CEA estimate'!Q23-'National CEA estimate'!R23)</f>
        <v>1451126.7934424605</v>
      </c>
      <c r="F73" s="87">
        <f>B73*('National CEA estimate'!R23)</f>
        <v>84165354.019662842</v>
      </c>
      <c r="G73" s="87">
        <f t="shared" si="28"/>
        <v>3410354.1773446398</v>
      </c>
      <c r="H73" s="87">
        <f t="shared" si="22"/>
        <v>103376866.61449209</v>
      </c>
      <c r="I73" s="87">
        <f t="shared" si="23"/>
        <v>0.96701047063012313</v>
      </c>
      <c r="J73" s="106">
        <f>'GBD Estimates'!M32</f>
        <v>0</v>
      </c>
      <c r="K73" s="106">
        <f t="shared" si="24"/>
        <v>0</v>
      </c>
      <c r="L73" s="87">
        <f>J73*C60</f>
        <v>0</v>
      </c>
      <c r="M73" s="87">
        <f t="shared" si="25"/>
        <v>0</v>
      </c>
      <c r="N73" s="106">
        <f t="shared" si="29"/>
        <v>0.14075263157894738</v>
      </c>
      <c r="O73" s="140">
        <f t="shared" si="30"/>
        <v>0.22460526315789475</v>
      </c>
      <c r="P73" s="106">
        <f>AVERAGE(0.331,0.298,0.268,0.241)</f>
        <v>0.28449999999999998</v>
      </c>
      <c r="Q73">
        <f t="shared" si="26"/>
        <v>0</v>
      </c>
      <c r="R73">
        <f t="shared" si="27"/>
        <v>0</v>
      </c>
      <c r="T73" s="124"/>
    </row>
    <row r="74" spans="1:20" ht="12.75" x14ac:dyDescent="0.2">
      <c r="A74" s="122" t="s">
        <v>138</v>
      </c>
      <c r="B74" s="87">
        <f t="shared" si="21"/>
        <v>44591513.345568866</v>
      </c>
      <c r="C74" s="87">
        <f>B74*(1 - 'National CEA estimate'!P23)</f>
        <v>23833395.064010948</v>
      </c>
      <c r="D74" s="87">
        <f>B74*('National CEA estimate'!P23-'National CEA estimate'!Q23)</f>
        <v>345968.63802596478</v>
      </c>
      <c r="E74" s="87">
        <f>B74*('National CEA estimate'!Q23-'National CEA estimate'!R23)</f>
        <v>345968.63802596478</v>
      </c>
      <c r="F74" s="87">
        <f>B74*('National CEA estimate'!R23)</f>
        <v>20066181.00550599</v>
      </c>
      <c r="G74" s="87">
        <f t="shared" si="28"/>
        <v>882750.51221118332</v>
      </c>
      <c r="H74" s="87">
        <f t="shared" si="22"/>
        <v>24716145.576222133</v>
      </c>
      <c r="I74" s="87">
        <f t="shared" si="23"/>
        <v>0.96428445893843484</v>
      </c>
      <c r="J74" s="106">
        <f>'GBD Estimates'!M33</f>
        <v>0</v>
      </c>
      <c r="K74" s="171">
        <f t="shared" si="24"/>
        <v>0</v>
      </c>
      <c r="L74" s="87">
        <f>J74*C60</f>
        <v>0</v>
      </c>
      <c r="M74" s="87">
        <f t="shared" si="25"/>
        <v>0</v>
      </c>
      <c r="N74" s="106">
        <f t="shared" si="29"/>
        <v>9.7133333333333349E-2</v>
      </c>
      <c r="O74" s="140">
        <f t="shared" si="30"/>
        <v>0.15500000000000003</v>
      </c>
      <c r="P74" s="106">
        <f>AVERAGE(0.217,0.196,0.176)</f>
        <v>0.19633333333333333</v>
      </c>
      <c r="Q74">
        <f t="shared" si="26"/>
        <v>0</v>
      </c>
      <c r="R74">
        <f t="shared" si="27"/>
        <v>0</v>
      </c>
      <c r="T74" s="124"/>
    </row>
    <row r="75" spans="1:20" ht="12.75" x14ac:dyDescent="0.2">
      <c r="A75" s="145" t="s">
        <v>103</v>
      </c>
      <c r="B75" s="146">
        <f t="shared" si="21"/>
        <v>1311636774.868042</v>
      </c>
      <c r="C75" s="146">
        <f t="shared" ref="C75:H75" si="31">SUM(C63:C74)</f>
        <v>702382656.15511227</v>
      </c>
      <c r="D75" s="146">
        <f t="shared" si="31"/>
        <v>11026764.110074017</v>
      </c>
      <c r="E75" s="146">
        <f t="shared" si="31"/>
        <v>10997191.788440842</v>
      </c>
      <c r="F75" s="146">
        <f t="shared" si="31"/>
        <v>587238881.41520917</v>
      </c>
      <c r="G75" s="146">
        <f t="shared" si="31"/>
        <v>17917405.788707912</v>
      </c>
      <c r="H75" s="146">
        <f t="shared" si="31"/>
        <v>720300061.94382012</v>
      </c>
      <c r="I75" s="147"/>
      <c r="J75" s="148">
        <f t="shared" ref="J75:M75" si="32">SUM(J63:J74)</f>
        <v>1</v>
      </c>
      <c r="K75" s="148">
        <f t="shared" si="32"/>
        <v>0.97760779501862405</v>
      </c>
      <c r="L75" s="146">
        <f t="shared" si="32"/>
        <v>20987.11</v>
      </c>
      <c r="M75" s="87">
        <f t="shared" si="32"/>
        <v>20517.162330913314</v>
      </c>
      <c r="P75" s="147"/>
      <c r="Q75" s="147">
        <f t="shared" si="26"/>
        <v>2.9210804325986033E-5</v>
      </c>
      <c r="R75" s="147">
        <f t="shared" si="27"/>
        <v>3.3675869724535512E-5</v>
      </c>
      <c r="S75" s="147">
        <f>SUM(M63:M70)/SUM(C63:C70)</f>
        <v>3.0296249283047683E-4</v>
      </c>
      <c r="T75" s="149">
        <f>SUM(M64:M70)/SUM(C64:C70)</f>
        <v>3.0514525106219316E-4</v>
      </c>
    </row>
    <row r="79" spans="1:20" ht="12.75" x14ac:dyDescent="0.2">
      <c r="A79" s="109" t="s">
        <v>55</v>
      </c>
      <c r="B79" s="109"/>
      <c r="C79" s="110"/>
      <c r="D79" s="110"/>
      <c r="E79" s="110"/>
      <c r="F79" s="110"/>
      <c r="G79" s="110"/>
      <c r="H79" s="110"/>
      <c r="I79" s="110"/>
      <c r="J79" s="110"/>
      <c r="K79" s="110"/>
      <c r="L79" s="110"/>
      <c r="M79" s="110"/>
      <c r="N79" s="110"/>
      <c r="O79" s="110"/>
      <c r="P79" s="110"/>
      <c r="Q79" s="110"/>
      <c r="R79" s="110"/>
      <c r="S79" s="110"/>
      <c r="T79" s="110"/>
    </row>
    <row r="80" spans="1:20" ht="25.5" x14ac:dyDescent="0.2">
      <c r="A80" s="25"/>
      <c r="B80" s="112" t="s">
        <v>140</v>
      </c>
      <c r="C80" s="113">
        <f>'GBD Estimates'!R8</f>
        <v>24941.53</v>
      </c>
      <c r="D80" s="113"/>
      <c r="E80" s="113"/>
      <c r="F80" s="113"/>
      <c r="G80" s="114"/>
      <c r="H80" s="114"/>
      <c r="I80" s="114"/>
      <c r="J80" s="114"/>
      <c r="K80" s="114"/>
      <c r="L80" s="114"/>
      <c r="M80" s="114"/>
      <c r="N80" s="115" t="s">
        <v>141</v>
      </c>
      <c r="O80" s="115"/>
      <c r="P80" s="115"/>
      <c r="Q80" s="114"/>
      <c r="R80" s="114"/>
      <c r="S80" s="114"/>
      <c r="T80" s="114"/>
    </row>
    <row r="81" spans="1:32" ht="76.5" x14ac:dyDescent="0.2">
      <c r="A81" s="116" t="s">
        <v>119</v>
      </c>
      <c r="B81" s="117" t="s">
        <v>142</v>
      </c>
      <c r="C81" s="118" t="s">
        <v>143</v>
      </c>
      <c r="D81" s="118" t="s">
        <v>144</v>
      </c>
      <c r="E81" s="118" t="s">
        <v>145</v>
      </c>
      <c r="F81" s="118" t="s">
        <v>146</v>
      </c>
      <c r="G81" s="117" t="s">
        <v>147</v>
      </c>
      <c r="H81" s="115" t="s">
        <v>148</v>
      </c>
      <c r="I81" s="115" t="s">
        <v>149</v>
      </c>
      <c r="J81" s="115" t="s">
        <v>150</v>
      </c>
      <c r="K81" s="119" t="s">
        <v>151</v>
      </c>
      <c r="L81" s="115" t="s">
        <v>152</v>
      </c>
      <c r="M81" s="119" t="s">
        <v>153</v>
      </c>
      <c r="N81" s="12" t="s">
        <v>154</v>
      </c>
      <c r="O81" s="12" t="s">
        <v>155</v>
      </c>
      <c r="P81" s="12" t="s">
        <v>156</v>
      </c>
      <c r="Q81" s="115" t="s">
        <v>157</v>
      </c>
      <c r="R81" s="115" t="s">
        <v>158</v>
      </c>
      <c r="S81" s="115" t="s">
        <v>159</v>
      </c>
      <c r="T81" s="115" t="s">
        <v>160</v>
      </c>
    </row>
    <row r="82" spans="1:32" ht="12.75" x14ac:dyDescent="0.2">
      <c r="A82" s="116"/>
      <c r="B82" s="119" t="s">
        <v>161</v>
      </c>
      <c r="C82" s="119" t="s">
        <v>162</v>
      </c>
      <c r="D82" s="115"/>
      <c r="E82" s="115"/>
      <c r="F82" s="115"/>
      <c r="G82" s="119" t="s">
        <v>163</v>
      </c>
      <c r="H82" s="119" t="s">
        <v>164</v>
      </c>
      <c r="I82" s="115"/>
      <c r="J82" s="119" t="s">
        <v>165</v>
      </c>
      <c r="K82" s="119" t="s">
        <v>166</v>
      </c>
      <c r="L82" s="120" t="s">
        <v>167</v>
      </c>
      <c r="M82" s="119" t="s">
        <v>168</v>
      </c>
      <c r="N82" s="115"/>
      <c r="O82" s="115"/>
      <c r="P82" s="115"/>
      <c r="Q82" s="119" t="s">
        <v>169</v>
      </c>
      <c r="R82" s="115"/>
      <c r="S82" s="115"/>
      <c r="T82" s="115"/>
      <c r="U82" s="121"/>
      <c r="V82" s="121"/>
      <c r="W82" s="121"/>
      <c r="X82" s="121"/>
      <c r="Y82" s="121"/>
      <c r="Z82" s="121"/>
      <c r="AA82" s="121"/>
      <c r="AB82" s="121"/>
      <c r="AC82" s="121"/>
      <c r="AD82" s="121"/>
      <c r="AE82" s="121"/>
      <c r="AF82" s="121"/>
    </row>
    <row r="83" spans="1:32" ht="12.75" x14ac:dyDescent="0.2">
      <c r="A83" s="122" t="s">
        <v>123</v>
      </c>
      <c r="B83" s="87">
        <f t="shared" ref="B83:B95" si="33">B4</f>
        <v>2858657.7578734863</v>
      </c>
      <c r="C83" s="87">
        <f>B83</f>
        <v>2858657.7578734863</v>
      </c>
      <c r="D83" s="4">
        <v>0</v>
      </c>
      <c r="E83" s="4">
        <v>0</v>
      </c>
      <c r="F83" s="4">
        <v>0</v>
      </c>
      <c r="G83" s="4">
        <v>0</v>
      </c>
      <c r="H83" s="87">
        <f t="shared" ref="H83:H94" si="34">C83+G83</f>
        <v>2858657.7578734863</v>
      </c>
      <c r="I83" s="87">
        <f t="shared" ref="I83:I94" si="35">C83/H83</f>
        <v>1</v>
      </c>
      <c r="J83" s="106">
        <f>'GBD Estimates'!N21</f>
        <v>1.3831394290932804E-2</v>
      </c>
      <c r="K83" s="106">
        <f t="shared" ref="K83:K94" si="36">I83*J83</f>
        <v>1.3831394290932804E-2</v>
      </c>
      <c r="L83" s="87">
        <f>J83*C80</f>
        <v>344.97613564912928</v>
      </c>
      <c r="M83" s="87">
        <f t="shared" ref="M83:M94" si="37">I83*L83</f>
        <v>344.97613564912928</v>
      </c>
      <c r="N83" s="4">
        <v>0</v>
      </c>
      <c r="O83" s="4">
        <v>0</v>
      </c>
      <c r="P83" s="123">
        <v>0</v>
      </c>
      <c r="Q83">
        <f t="shared" ref="Q83:Q95" si="38">M83/C83</f>
        <v>1.2067766233959814E-4</v>
      </c>
      <c r="R83" s="4">
        <v>0</v>
      </c>
      <c r="T83" s="124"/>
    </row>
    <row r="84" spans="1:32" ht="12.75" x14ac:dyDescent="0.2">
      <c r="A84" s="122" t="s">
        <v>128</v>
      </c>
      <c r="B84" s="87">
        <f t="shared" si="33"/>
        <v>1905771.8385823241</v>
      </c>
      <c r="C84" s="87">
        <f>B84*(1 - 'National CEA estimate'!P23)</f>
        <v>1018602.1895871044</v>
      </c>
      <c r="D84" s="87">
        <f>B84*('National CEA estimate'!P23)</f>
        <v>887169.64899521985</v>
      </c>
      <c r="E84" s="88">
        <v>0</v>
      </c>
      <c r="F84" s="88">
        <v>0</v>
      </c>
      <c r="G84" s="87">
        <f>(D84*(1-N84))</f>
        <v>470199.91396746656</v>
      </c>
      <c r="H84" s="87">
        <f t="shared" si="34"/>
        <v>1488802.103554571</v>
      </c>
      <c r="I84" s="87">
        <f t="shared" si="35"/>
        <v>0.68417567865813278</v>
      </c>
      <c r="J84" s="106">
        <f>'GBD Estimates'!N22</f>
        <v>9.220929527288535E-3</v>
      </c>
      <c r="K84" s="106">
        <f t="shared" si="36"/>
        <v>6.3087357171914488E-3</v>
      </c>
      <c r="L84" s="87">
        <f>J84*C80</f>
        <v>229.98409043275279</v>
      </c>
      <c r="M84" s="87">
        <f t="shared" si="37"/>
        <v>157.34952115240202</v>
      </c>
      <c r="N84" s="4">
        <f>SUM('National CEA estimate'!C23)</f>
        <v>0.47</v>
      </c>
      <c r="O84" s="4">
        <f>N84</f>
        <v>0.47</v>
      </c>
      <c r="P84" s="123">
        <f>N84</f>
        <v>0.47</v>
      </c>
      <c r="Q84">
        <f t="shared" si="38"/>
        <v>1.5447593060464995E-4</v>
      </c>
      <c r="R84">
        <f t="shared" ref="R84:R95" si="39">M84/(B84-C84)</f>
        <v>1.7736125365719072E-4</v>
      </c>
      <c r="T84" s="124"/>
    </row>
    <row r="85" spans="1:32" ht="12.75" x14ac:dyDescent="0.2">
      <c r="A85" s="122" t="s">
        <v>129</v>
      </c>
      <c r="B85" s="87">
        <f t="shared" si="33"/>
        <v>1905771.8385823241</v>
      </c>
      <c r="C85" s="87">
        <f>B85*(1 - 'National CEA estimate'!P23)</f>
        <v>1018602.1895871044</v>
      </c>
      <c r="D85" s="87">
        <f>B85*('National CEA estimate'!P23-'National CEA estimate'!Q23)</f>
        <v>14786.160816586975</v>
      </c>
      <c r="E85" s="87">
        <f>B85*('National CEA estimate'!Q23)</f>
        <v>872383.4881786328</v>
      </c>
      <c r="F85" s="88">
        <v>0</v>
      </c>
      <c r="G85" s="87">
        <f>((D85)*(1-N85))+(E85*(1-O85))</f>
        <v>225932.5372774493</v>
      </c>
      <c r="H85" s="87">
        <f t="shared" si="34"/>
        <v>1244534.7268645538</v>
      </c>
      <c r="I85" s="87">
        <f t="shared" si="35"/>
        <v>0.81846023867356632</v>
      </c>
      <c r="J85" s="106">
        <f>'GBD Estimates'!N23</f>
        <v>9.220929527288535E-3</v>
      </c>
      <c r="K85" s="106">
        <f t="shared" si="36"/>
        <v>7.5469641816967095E-3</v>
      </c>
      <c r="L85" s="87">
        <f>J85*C80</f>
        <v>229.98409043275279</v>
      </c>
      <c r="M85" s="87">
        <f t="shared" si="37"/>
        <v>188.23283354671392</v>
      </c>
      <c r="N85" s="4">
        <f>N84</f>
        <v>0.47</v>
      </c>
      <c r="O85" s="4">
        <f>SUM('National CEA estimate'!C23:D23)</f>
        <v>0.75</v>
      </c>
      <c r="P85" s="123">
        <f>O85</f>
        <v>0.75</v>
      </c>
      <c r="Q85">
        <f t="shared" si="38"/>
        <v>1.847952375038729E-4</v>
      </c>
      <c r="R85">
        <f t="shared" si="39"/>
        <v>2.1217230972666893E-4</v>
      </c>
      <c r="T85" s="124"/>
    </row>
    <row r="86" spans="1:32" ht="12.75" x14ac:dyDescent="0.2">
      <c r="A86" s="122" t="s">
        <v>130</v>
      </c>
      <c r="B86" s="87">
        <f t="shared" si="33"/>
        <v>11962121.451101553</v>
      </c>
      <c r="C86" s="87">
        <f>B86*(1 - 'National CEA estimate'!P23)</f>
        <v>6393547.6721404856</v>
      </c>
      <c r="D86" s="87">
        <f>B86*('National CEA estimate'!P23-'National CEA estimate'!Q23)</f>
        <v>92809.562982684307</v>
      </c>
      <c r="E86" s="87">
        <f>B86*('National CEA estimate'!Q23-'National CEA estimate'!R23)</f>
        <v>92809.562982684307</v>
      </c>
      <c r="F86" s="87">
        <f>B86*('National CEA estimate'!R23)</f>
        <v>5382954.6529956991</v>
      </c>
      <c r="G86" s="87">
        <f t="shared" ref="G86:G94" si="40">((D86)*(1-N86))+(E86*(1-O86))+(D86*(1-P86))</f>
        <v>77031.937275627977</v>
      </c>
      <c r="H86" s="87">
        <f t="shared" si="34"/>
        <v>6470579.6094161132</v>
      </c>
      <c r="I86" s="87">
        <f t="shared" si="35"/>
        <v>0.98809504836884643</v>
      </c>
      <c r="J86" s="106">
        <f>'GBD Estimates'!N24</f>
        <v>5.7877798729320008E-2</v>
      </c>
      <c r="K86" s="106">
        <f t="shared" si="36"/>
        <v>5.7188766334929815E-2</v>
      </c>
      <c r="L86" s="87">
        <f>J86*C80</f>
        <v>1443.5608533412967</v>
      </c>
      <c r="M86" s="87">
        <f t="shared" si="37"/>
        <v>1426.3753312056417</v>
      </c>
      <c r="N86" s="4">
        <f>N84</f>
        <v>0.47</v>
      </c>
      <c r="O86" s="4">
        <f>O85</f>
        <v>0.75</v>
      </c>
      <c r="P86" s="123">
        <f>SUM('National CEA estimate'!C23:E23)</f>
        <v>0.95</v>
      </c>
      <c r="Q86">
        <f t="shared" si="38"/>
        <v>2.2309606565084199E-4</v>
      </c>
      <c r="R86">
        <f t="shared" si="39"/>
        <v>2.5614733463615193E-4</v>
      </c>
      <c r="T86" s="124"/>
    </row>
    <row r="87" spans="1:32" ht="12.75" x14ac:dyDescent="0.2">
      <c r="A87" s="122" t="s">
        <v>131</v>
      </c>
      <c r="B87" s="87">
        <f t="shared" si="33"/>
        <v>12421548.590759791</v>
      </c>
      <c r="C87" s="87">
        <f>B87*(1 - 'National CEA estimate'!P23)</f>
        <v>6639103.5571302343</v>
      </c>
      <c r="D87" s="87">
        <f>B87*('National CEA estimate'!P23-'National CEA estimate'!Q23)</f>
        <v>96374.083893825809</v>
      </c>
      <c r="E87" s="87">
        <f>B87*('National CEA estimate'!Q23-'National CEA estimate'!R23)</f>
        <v>96374.083893825809</v>
      </c>
      <c r="F87" s="87">
        <f>B87*('National CEA estimate'!R23)</f>
        <v>5589696.8658419065</v>
      </c>
      <c r="G87" s="87">
        <f t="shared" si="40"/>
        <v>79990.489631875433</v>
      </c>
      <c r="H87" s="87">
        <f t="shared" si="34"/>
        <v>6719094.0467621097</v>
      </c>
      <c r="I87" s="87">
        <f t="shared" si="35"/>
        <v>0.98809504836884632</v>
      </c>
      <c r="J87" s="106">
        <f>'GBD Estimates'!N25</f>
        <v>6.0100701383219921E-2</v>
      </c>
      <c r="K87" s="106">
        <f t="shared" si="36"/>
        <v>5.9385205440254274E-2</v>
      </c>
      <c r="L87" s="87">
        <f>J87*C80</f>
        <v>1499.003446570621</v>
      </c>
      <c r="M87" s="87">
        <f t="shared" si="37"/>
        <v>1481.1578830442652</v>
      </c>
      <c r="N87" s="4">
        <f>N84</f>
        <v>0.47</v>
      </c>
      <c r="O87" s="4">
        <f>O85</f>
        <v>0.75</v>
      </c>
      <c r="P87" s="123">
        <f>P86</f>
        <v>0.95</v>
      </c>
      <c r="Q87">
        <f t="shared" si="38"/>
        <v>2.2309606565084196E-4</v>
      </c>
      <c r="R87">
        <f t="shared" si="39"/>
        <v>2.5614733463615199E-4</v>
      </c>
      <c r="T87" s="124"/>
    </row>
    <row r="88" spans="1:32" ht="12.75" x14ac:dyDescent="0.2">
      <c r="A88" s="122" t="s">
        <v>132</v>
      </c>
      <c r="B88" s="87">
        <f t="shared" si="33"/>
        <v>6210842.3586598439</v>
      </c>
      <c r="C88" s="87">
        <f>B88*(1 - 'National CEA estimate'!P23)</f>
        <v>3319588.1572147445</v>
      </c>
      <c r="D88" s="87">
        <f>B88*('National CEA estimate'!P23-'National CEA estimate'!Q23)</f>
        <v>48187.570024084918</v>
      </c>
      <c r="E88" s="87">
        <f>B88*('National CEA estimate'!Q23-'National CEA estimate'!R23)</f>
        <v>48187.570024084918</v>
      </c>
      <c r="F88" s="87">
        <f>B88*('National CEA estimate'!R23)</f>
        <v>2794879.0613969299</v>
      </c>
      <c r="G88" s="87">
        <f t="shared" si="40"/>
        <v>39995.683119990485</v>
      </c>
      <c r="H88" s="87">
        <f t="shared" si="34"/>
        <v>3359583.8403347349</v>
      </c>
      <c r="I88" s="87">
        <f t="shared" si="35"/>
        <v>0.98809504836884632</v>
      </c>
      <c r="J88" s="106">
        <f>'GBD Estimates'!N26</f>
        <v>3.0050680010521646E-2</v>
      </c>
      <c r="K88" s="106">
        <f t="shared" si="36"/>
        <v>2.9692928118513109E-2</v>
      </c>
      <c r="L88" s="87">
        <f>J88*C80</f>
        <v>749.50993700282595</v>
      </c>
      <c r="M88" s="87">
        <f t="shared" si="37"/>
        <v>740.58705745573832</v>
      </c>
      <c r="N88" s="4">
        <f>N84</f>
        <v>0.47</v>
      </c>
      <c r="O88" s="4">
        <f>O85</f>
        <v>0.75</v>
      </c>
      <c r="P88" s="123">
        <f>P86</f>
        <v>0.95</v>
      </c>
      <c r="Q88">
        <f t="shared" si="38"/>
        <v>2.2309606565084201E-4</v>
      </c>
      <c r="R88">
        <f t="shared" si="39"/>
        <v>2.5614733463615199E-4</v>
      </c>
      <c r="T88" s="124"/>
    </row>
    <row r="89" spans="1:32" ht="12.75" x14ac:dyDescent="0.2">
      <c r="A89" s="122" t="s">
        <v>133</v>
      </c>
      <c r="B89" s="87">
        <f t="shared" si="33"/>
        <v>12421548.590759791</v>
      </c>
      <c r="C89" s="87">
        <f>B89*(1 - 'National CEA estimate'!P23)</f>
        <v>6639103.5571302343</v>
      </c>
      <c r="D89" s="87">
        <f>B89*('National CEA estimate'!P23-'National CEA estimate'!Q23)</f>
        <v>96374.083893825809</v>
      </c>
      <c r="E89" s="87">
        <f>B89*('National CEA estimate'!Q23-'National CEA estimate'!R23)</f>
        <v>96374.083893825809</v>
      </c>
      <c r="F89" s="87">
        <f>B89*('National CEA estimate'!R23)</f>
        <v>5589696.8658419065</v>
      </c>
      <c r="G89" s="87">
        <f t="shared" si="40"/>
        <v>79990.489631875433</v>
      </c>
      <c r="H89" s="87">
        <f t="shared" si="34"/>
        <v>6719094.0467621097</v>
      </c>
      <c r="I89" s="87">
        <f t="shared" si="35"/>
        <v>0.98809504836884632</v>
      </c>
      <c r="J89" s="106">
        <f>'GBD Estimates'!N27</f>
        <v>6.0100701383219921E-2</v>
      </c>
      <c r="K89" s="106">
        <f t="shared" si="36"/>
        <v>5.9385205440254274E-2</v>
      </c>
      <c r="L89" s="87">
        <f>J89*C80</f>
        <v>1499.003446570621</v>
      </c>
      <c r="M89" s="87">
        <f t="shared" si="37"/>
        <v>1481.1578830442652</v>
      </c>
      <c r="N89" s="4">
        <f>N84</f>
        <v>0.47</v>
      </c>
      <c r="O89" s="4">
        <f>O85</f>
        <v>0.75</v>
      </c>
      <c r="P89" s="123">
        <f>P86</f>
        <v>0.95</v>
      </c>
      <c r="Q89">
        <f t="shared" si="38"/>
        <v>2.2309606565084196E-4</v>
      </c>
      <c r="R89">
        <f t="shared" si="39"/>
        <v>2.5614733463615199E-4</v>
      </c>
      <c r="T89" s="124"/>
    </row>
    <row r="90" spans="1:32" ht="12.75" x14ac:dyDescent="0.2">
      <c r="A90" s="122" t="s">
        <v>134</v>
      </c>
      <c r="B90" s="87">
        <f t="shared" si="33"/>
        <v>74529223.481278807</v>
      </c>
      <c r="C90" s="87">
        <f>B90*(1 - 'National CEA estimate'!P23)</f>
        <v>39834584.96413178</v>
      </c>
      <c r="D90" s="87">
        <f>B90*('National CEA estimate'!P23-'National CEA estimate'!Q23)</f>
        <v>578243.97528578294</v>
      </c>
      <c r="E90" s="87">
        <f>B90*('National CEA estimate'!Q23-'National CEA estimate'!R23)</f>
        <v>578243.97528578294</v>
      </c>
      <c r="F90" s="87">
        <f>B90*('National CEA estimate'!R23)</f>
        <v>33538150.566575464</v>
      </c>
      <c r="G90" s="87">
        <f t="shared" si="40"/>
        <v>479942.49948719988</v>
      </c>
      <c r="H90" s="87">
        <f t="shared" si="34"/>
        <v>40314527.463618979</v>
      </c>
      <c r="I90" s="87">
        <f t="shared" si="35"/>
        <v>0.98809504836884632</v>
      </c>
      <c r="J90" s="106">
        <f>'GBD Estimates'!N28</f>
        <v>0.16026875656786094</v>
      </c>
      <c r="K90" s="106">
        <f t="shared" si="36"/>
        <v>0.1583607647729354</v>
      </c>
      <c r="L90" s="87">
        <f>J90*C80</f>
        <v>3997.3480000000004</v>
      </c>
      <c r="M90" s="87">
        <f t="shared" si="37"/>
        <v>3949.7597654071114</v>
      </c>
      <c r="N90" s="4">
        <f>N84</f>
        <v>0.47</v>
      </c>
      <c r="O90" s="4">
        <f>O85</f>
        <v>0.75</v>
      </c>
      <c r="P90" s="123">
        <f>P86</f>
        <v>0.95</v>
      </c>
      <c r="Q90">
        <f t="shared" si="38"/>
        <v>9.9154033334691201E-5</v>
      </c>
      <c r="R90">
        <f t="shared" si="39"/>
        <v>1.1384351975464548E-4</v>
      </c>
      <c r="T90" s="124"/>
    </row>
    <row r="91" spans="1:32" ht="12.75" x14ac:dyDescent="0.2">
      <c r="A91" s="122" t="s">
        <v>135</v>
      </c>
      <c r="B91" s="87">
        <f t="shared" si="33"/>
        <v>253795974.49182943</v>
      </c>
      <c r="C91" s="87">
        <f>B91*(1 - 'National CEA estimate'!P23)</f>
        <v>135649572.57321918</v>
      </c>
      <c r="D91" s="87">
        <f>B91*('National CEA estimate'!P23-'National CEA estimate'!Q23)</f>
        <v>1969106.6986435011</v>
      </c>
      <c r="E91" s="87">
        <f>B91*('National CEA estimate'!Q23-'National CEA estimate'!R23)</f>
        <v>1969106.6986435011</v>
      </c>
      <c r="F91" s="87">
        <f>B91*('National CEA estimate'!R23)</f>
        <v>114208188.52132325</v>
      </c>
      <c r="G91" s="87">
        <f t="shared" si="40"/>
        <v>2252813.5190401631</v>
      </c>
      <c r="H91" s="87">
        <f t="shared" si="34"/>
        <v>137902386.09225935</v>
      </c>
      <c r="I91" s="87">
        <f t="shared" si="35"/>
        <v>0.9836637089257253</v>
      </c>
      <c r="J91" s="106">
        <f>'GBD Estimates'!N30</f>
        <v>9.8062548688873541E-2</v>
      </c>
      <c r="K91" s="106">
        <f t="shared" si="36"/>
        <v>9.6460570350006866E-2</v>
      </c>
      <c r="L91" s="87">
        <f>J91*C80</f>
        <v>2445.83</v>
      </c>
      <c r="M91" s="87">
        <f t="shared" si="37"/>
        <v>2405.8742092018065</v>
      </c>
      <c r="N91" s="106">
        <f t="shared" ref="N91:N94" si="41">(P91/P90)*N90</f>
        <v>0.40197368421052632</v>
      </c>
      <c r="O91" s="140">
        <f t="shared" ref="O91:O94" si="42">(P91/P90)*O90</f>
        <v>0.64144736842105265</v>
      </c>
      <c r="P91" s="106">
        <f>AVERAGE(0.855,0.77)</f>
        <v>0.8125</v>
      </c>
      <c r="Q91">
        <f t="shared" si="38"/>
        <v>1.7735951271819856E-5</v>
      </c>
      <c r="R91">
        <f t="shared" si="39"/>
        <v>2.0363499608385761E-5</v>
      </c>
      <c r="T91" s="124"/>
    </row>
    <row r="92" spans="1:32" ht="12.75" x14ac:dyDescent="0.2">
      <c r="A92" s="122" t="s">
        <v>136</v>
      </c>
      <c r="B92" s="87">
        <f t="shared" si="33"/>
        <v>702008399.68014467</v>
      </c>
      <c r="C92" s="87">
        <f>B92*(1 - 'National CEA estimate'!P23)</f>
        <v>375211386.03593946</v>
      </c>
      <c r="D92" s="87">
        <f>B92*('National CEA estimate'!P23-'National CEA estimate'!Q23)</f>
        <v>5446616.8940700796</v>
      </c>
      <c r="E92" s="87">
        <f>B92*('National CEA estimate'!Q23-'National CEA estimate'!R23)</f>
        <v>5446616.8940700796</v>
      </c>
      <c r="F92" s="87">
        <f>B92*('National CEA estimate'!R23)</f>
        <v>315903779.85606509</v>
      </c>
      <c r="G92" s="87">
        <f t="shared" si="40"/>
        <v>9918404.0297204386</v>
      </c>
      <c r="H92" s="87">
        <f t="shared" si="34"/>
        <v>385129790.06565988</v>
      </c>
      <c r="I92" s="87">
        <f t="shared" si="35"/>
        <v>0.97424659352362886</v>
      </c>
      <c r="J92" s="106">
        <f>'GBD Estimates'!N31</f>
        <v>0.1927812768502975</v>
      </c>
      <c r="K92" s="106">
        <f t="shared" si="36"/>
        <v>0.18781650226653795</v>
      </c>
      <c r="L92" s="87">
        <f>J92*C80</f>
        <v>4808.26</v>
      </c>
      <c r="M92" s="87">
        <f t="shared" si="37"/>
        <v>4684.4309257759242</v>
      </c>
      <c r="N92" s="106">
        <f t="shared" si="41"/>
        <v>0.25535488721804511</v>
      </c>
      <c r="O92" s="140">
        <f t="shared" si="42"/>
        <v>0.40748120300751883</v>
      </c>
      <c r="P92" s="106">
        <f>AVERAGE(0.693,0.623,0.561,0.505,0.454,0.409,0.368)</f>
        <v>0.51614285714285713</v>
      </c>
      <c r="Q92">
        <f t="shared" si="38"/>
        <v>1.2484778181350893E-5</v>
      </c>
      <c r="R92">
        <f t="shared" si="39"/>
        <v>1.4334374948958438E-5</v>
      </c>
      <c r="T92" s="124"/>
    </row>
    <row r="93" spans="1:32" ht="12.75" x14ac:dyDescent="0.2">
      <c r="A93" s="122" t="s">
        <v>137</v>
      </c>
      <c r="B93" s="87">
        <f t="shared" si="33"/>
        <v>187034120.04369521</v>
      </c>
      <c r="C93" s="87">
        <f>B93*(1 - 'National CEA estimate'!P23)</f>
        <v>99966512.437147453</v>
      </c>
      <c r="D93" s="87">
        <f>B93*('National CEA estimate'!P23-'National CEA estimate'!Q23)</f>
        <v>1451126.7934424605</v>
      </c>
      <c r="E93" s="87">
        <f>B93*('National CEA estimate'!Q23-'National CEA estimate'!R23)</f>
        <v>1451126.7934424605</v>
      </c>
      <c r="F93" s="87">
        <f>B93*('National CEA estimate'!R23)</f>
        <v>84165354.019662842</v>
      </c>
      <c r="G93" s="87">
        <f t="shared" si="40"/>
        <v>3410354.1773446398</v>
      </c>
      <c r="H93" s="87">
        <f t="shared" si="34"/>
        <v>103376866.61449209</v>
      </c>
      <c r="I93" s="87">
        <f t="shared" si="35"/>
        <v>0.96701047063012313</v>
      </c>
      <c r="J93" s="106">
        <f>'GBD Estimates'!N32</f>
        <v>0.16401399593368973</v>
      </c>
      <c r="K93" s="106">
        <f t="shared" si="36"/>
        <v>0.15860325139776441</v>
      </c>
      <c r="L93" s="87">
        <f>J93*C80</f>
        <v>4090.76</v>
      </c>
      <c r="M93" s="87">
        <f t="shared" si="37"/>
        <v>3955.8077528348826</v>
      </c>
      <c r="N93" s="106">
        <f t="shared" si="41"/>
        <v>0.14075263157894738</v>
      </c>
      <c r="O93" s="140">
        <f t="shared" si="42"/>
        <v>0.22460526315789475</v>
      </c>
      <c r="P93" s="106">
        <f>AVERAGE(0.331,0.298,0.268,0.241)</f>
        <v>0.28449999999999998</v>
      </c>
      <c r="Q93">
        <f t="shared" si="38"/>
        <v>3.9571329002019968E-5</v>
      </c>
      <c r="R93">
        <f t="shared" si="39"/>
        <v>4.5433748113430346E-5</v>
      </c>
      <c r="T93" s="124"/>
    </row>
    <row r="94" spans="1:32" ht="12.75" x14ac:dyDescent="0.2">
      <c r="A94" s="122" t="s">
        <v>138</v>
      </c>
      <c r="B94" s="87">
        <f t="shared" si="33"/>
        <v>44591513.345568866</v>
      </c>
      <c r="C94" s="87">
        <f>B94*(1 - 'National CEA estimate'!P23)</f>
        <v>23833395.064010948</v>
      </c>
      <c r="D94" s="87">
        <f>B94*('National CEA estimate'!P23-'National CEA estimate'!Q23)</f>
        <v>345968.63802596478</v>
      </c>
      <c r="E94" s="87">
        <f>B94*('National CEA estimate'!Q23-'National CEA estimate'!R23)</f>
        <v>345968.63802596478</v>
      </c>
      <c r="F94" s="87">
        <f>B94*('National CEA estimate'!R23)</f>
        <v>20066181.00550599</v>
      </c>
      <c r="G94" s="87">
        <f t="shared" si="40"/>
        <v>882750.51221118332</v>
      </c>
      <c r="H94" s="87">
        <f t="shared" si="34"/>
        <v>24716145.576222133</v>
      </c>
      <c r="I94" s="87">
        <f t="shared" si="35"/>
        <v>0.96428445893843484</v>
      </c>
      <c r="J94" s="106">
        <f>'GBD Estimates'!N33</f>
        <v>0.14447068804520014</v>
      </c>
      <c r="K94" s="171">
        <f t="shared" si="36"/>
        <v>0.13931083925412921</v>
      </c>
      <c r="L94" s="87">
        <f>J94*C80</f>
        <v>3603.32</v>
      </c>
      <c r="M94" s="87">
        <f t="shared" si="37"/>
        <v>3474.6254765820413</v>
      </c>
      <c r="N94" s="106">
        <f t="shared" si="41"/>
        <v>9.7133333333333349E-2</v>
      </c>
      <c r="O94" s="140">
        <f t="shared" si="42"/>
        <v>0.15500000000000003</v>
      </c>
      <c r="P94" s="106">
        <f>AVERAGE(0.217,0.196,0.176)</f>
        <v>0.19633333333333333</v>
      </c>
      <c r="Q94">
        <f t="shared" si="38"/>
        <v>1.4578810392938172E-4</v>
      </c>
      <c r="R94">
        <f t="shared" si="39"/>
        <v>1.6738634154854943E-4</v>
      </c>
      <c r="T94" s="124"/>
    </row>
    <row r="95" spans="1:32" ht="12.75" x14ac:dyDescent="0.2">
      <c r="A95" s="145" t="s">
        <v>103</v>
      </c>
      <c r="B95" s="146">
        <f t="shared" si="33"/>
        <v>1311636774.868042</v>
      </c>
      <c r="C95" s="146">
        <f t="shared" ref="C95:H95" si="43">SUM(C83:C94)</f>
        <v>702382656.15511227</v>
      </c>
      <c r="D95" s="146">
        <f t="shared" si="43"/>
        <v>11026764.110074017</v>
      </c>
      <c r="E95" s="146">
        <f t="shared" si="43"/>
        <v>10997191.788440842</v>
      </c>
      <c r="F95" s="146">
        <f t="shared" si="43"/>
        <v>587238881.41520917</v>
      </c>
      <c r="G95" s="146">
        <f t="shared" si="43"/>
        <v>17917405.788707912</v>
      </c>
      <c r="H95" s="146">
        <f t="shared" si="43"/>
        <v>720300061.94382012</v>
      </c>
      <c r="I95" s="147"/>
      <c r="J95" s="148">
        <f t="shared" ref="J95:M95" si="44">SUM(J83:J94)</f>
        <v>1.0000004009377133</v>
      </c>
      <c r="K95" s="148">
        <f t="shared" si="44"/>
        <v>0.9738911275651464</v>
      </c>
      <c r="L95" s="146">
        <f t="shared" si="44"/>
        <v>24941.54</v>
      </c>
      <c r="M95" s="87">
        <f t="shared" si="44"/>
        <v>24290.334774899922</v>
      </c>
      <c r="P95" s="147"/>
      <c r="Q95" s="147">
        <f t="shared" si="38"/>
        <v>3.4582765622184881E-5</v>
      </c>
      <c r="R95" s="147">
        <f t="shared" si="39"/>
        <v>3.9868970974236647E-5</v>
      </c>
      <c r="S95" s="147">
        <f>SUM(M83:M90)/SUM(C83:C90)</f>
        <v>1.4426075276573584E-4</v>
      </c>
      <c r="T95" s="149">
        <f>SUM(M84:M90)/SUM(C84:C90)</f>
        <v>1.4530011028709476E-4</v>
      </c>
    </row>
    <row r="99" spans="1:32" ht="12.75" x14ac:dyDescent="0.2">
      <c r="A99" s="109" t="s">
        <v>62</v>
      </c>
      <c r="B99" s="109"/>
      <c r="C99" s="110"/>
      <c r="D99" s="110"/>
      <c r="E99" s="110"/>
      <c r="F99" s="110"/>
      <c r="G99" s="110"/>
      <c r="H99" s="110"/>
      <c r="I99" s="110"/>
      <c r="J99" s="110"/>
      <c r="K99" s="110"/>
      <c r="L99" s="110"/>
      <c r="M99" s="110"/>
      <c r="N99" s="110"/>
      <c r="O99" s="110"/>
      <c r="P99" s="110"/>
      <c r="Q99" s="110"/>
      <c r="R99" s="110"/>
      <c r="S99" s="110"/>
      <c r="T99" s="110"/>
    </row>
    <row r="100" spans="1:32" ht="25.5" x14ac:dyDescent="0.2">
      <c r="A100" s="25"/>
      <c r="B100" s="112" t="s">
        <v>140</v>
      </c>
      <c r="C100" s="113">
        <f>'GBD Estimates'!R9</f>
        <v>24429.74</v>
      </c>
      <c r="D100" s="113"/>
      <c r="E100" s="113"/>
      <c r="F100" s="113"/>
      <c r="G100" s="114"/>
      <c r="H100" s="114"/>
      <c r="I100" s="114"/>
      <c r="J100" s="114"/>
      <c r="K100" s="114"/>
      <c r="L100" s="114"/>
      <c r="M100" s="114"/>
      <c r="N100" s="115" t="s">
        <v>141</v>
      </c>
      <c r="O100" s="115"/>
      <c r="P100" s="115"/>
      <c r="Q100" s="114"/>
      <c r="R100" s="114"/>
      <c r="S100" s="114"/>
      <c r="T100" s="114"/>
    </row>
    <row r="101" spans="1:32" ht="76.5" x14ac:dyDescent="0.2">
      <c r="A101" s="116" t="s">
        <v>119</v>
      </c>
      <c r="B101" s="117" t="s">
        <v>142</v>
      </c>
      <c r="C101" s="118" t="s">
        <v>143</v>
      </c>
      <c r="D101" s="118" t="s">
        <v>144</v>
      </c>
      <c r="E101" s="118" t="s">
        <v>145</v>
      </c>
      <c r="F101" s="118" t="s">
        <v>146</v>
      </c>
      <c r="G101" s="117" t="s">
        <v>147</v>
      </c>
      <c r="H101" s="115" t="s">
        <v>148</v>
      </c>
      <c r="I101" s="115" t="s">
        <v>149</v>
      </c>
      <c r="J101" s="115" t="s">
        <v>150</v>
      </c>
      <c r="K101" s="119" t="s">
        <v>151</v>
      </c>
      <c r="L101" s="115" t="s">
        <v>152</v>
      </c>
      <c r="M101" s="119" t="s">
        <v>153</v>
      </c>
      <c r="N101" s="12" t="s">
        <v>154</v>
      </c>
      <c r="O101" s="12" t="s">
        <v>155</v>
      </c>
      <c r="P101" s="12" t="s">
        <v>156</v>
      </c>
      <c r="Q101" s="115" t="s">
        <v>157</v>
      </c>
      <c r="R101" s="115" t="s">
        <v>158</v>
      </c>
      <c r="S101" s="115" t="s">
        <v>159</v>
      </c>
      <c r="T101" s="115" t="s">
        <v>160</v>
      </c>
    </row>
    <row r="102" spans="1:32" ht="12.75" x14ac:dyDescent="0.2">
      <c r="A102" s="116"/>
      <c r="B102" s="119" t="s">
        <v>161</v>
      </c>
      <c r="C102" s="119" t="s">
        <v>162</v>
      </c>
      <c r="D102" s="115"/>
      <c r="E102" s="115"/>
      <c r="F102" s="115"/>
      <c r="G102" s="119" t="s">
        <v>163</v>
      </c>
      <c r="H102" s="119" t="s">
        <v>164</v>
      </c>
      <c r="I102" s="115"/>
      <c r="J102" s="119" t="s">
        <v>165</v>
      </c>
      <c r="K102" s="119" t="s">
        <v>166</v>
      </c>
      <c r="L102" s="120" t="s">
        <v>167</v>
      </c>
      <c r="M102" s="119" t="s">
        <v>168</v>
      </c>
      <c r="N102" s="115"/>
      <c r="O102" s="115"/>
      <c r="P102" s="115"/>
      <c r="Q102" s="119" t="s">
        <v>169</v>
      </c>
      <c r="R102" s="115"/>
      <c r="S102" s="115"/>
      <c r="T102" s="115"/>
      <c r="U102" s="121"/>
      <c r="V102" s="121"/>
      <c r="W102" s="121"/>
      <c r="X102" s="121"/>
      <c r="Y102" s="121"/>
      <c r="Z102" s="121"/>
      <c r="AA102" s="121"/>
      <c r="AB102" s="121"/>
      <c r="AC102" s="121"/>
      <c r="AD102" s="121"/>
      <c r="AE102" s="121"/>
      <c r="AF102" s="121"/>
    </row>
    <row r="103" spans="1:32" ht="12.75" x14ac:dyDescent="0.2">
      <c r="A103" s="122" t="s">
        <v>123</v>
      </c>
      <c r="B103" s="87">
        <f t="shared" ref="B103:B115" si="45">B4</f>
        <v>2858657.7578734863</v>
      </c>
      <c r="C103" s="87">
        <f>B103</f>
        <v>2858657.7578734863</v>
      </c>
      <c r="D103" s="4">
        <v>0</v>
      </c>
      <c r="E103" s="4">
        <v>0</v>
      </c>
      <c r="F103" s="4">
        <v>0</v>
      </c>
      <c r="G103" s="4">
        <v>0</v>
      </c>
      <c r="H103" s="87">
        <f t="shared" ref="H103:H114" si="46">C103+G103</f>
        <v>2858657.7578734863</v>
      </c>
      <c r="I103" s="87">
        <f t="shared" ref="I103:I114" si="47">C103/H103</f>
        <v>1</v>
      </c>
      <c r="J103" s="106">
        <f>'GBD Estimates'!O21</f>
        <v>4.5935504649367051E-4</v>
      </c>
      <c r="K103" s="106">
        <f t="shared" ref="K103:K114" si="48">I103*J103</f>
        <v>4.5935504649367051E-4</v>
      </c>
      <c r="L103" s="87">
        <f>J103*C100</f>
        <v>11.221924353528284</v>
      </c>
      <c r="M103" s="87">
        <f t="shared" ref="M103:M114" si="49">I103*L103</f>
        <v>11.221924353528284</v>
      </c>
      <c r="N103" s="4">
        <v>0</v>
      </c>
      <c r="O103" s="4">
        <v>0</v>
      </c>
      <c r="P103" s="123">
        <v>0</v>
      </c>
      <c r="Q103">
        <f t="shared" ref="Q103:Q115" si="50">M103/C103</f>
        <v>3.9255921149078399E-6</v>
      </c>
      <c r="R103" s="4">
        <v>0</v>
      </c>
      <c r="T103" s="124"/>
    </row>
    <row r="104" spans="1:32" ht="12.75" x14ac:dyDescent="0.2">
      <c r="A104" s="122" t="s">
        <v>128</v>
      </c>
      <c r="B104" s="87">
        <f t="shared" si="45"/>
        <v>1905771.8385823241</v>
      </c>
      <c r="C104" s="87">
        <f>B104*(1 - 'National CEA estimate'!P25)</f>
        <v>190577.18385823237</v>
      </c>
      <c r="D104" s="87">
        <f>B104*('National CEA estimate'!P25)</f>
        <v>1715194.6547240918</v>
      </c>
      <c r="E104" s="88">
        <v>0</v>
      </c>
      <c r="F104" s="88">
        <v>0</v>
      </c>
      <c r="G104" s="87">
        <f>(D104*(1-N104))</f>
        <v>1200636.2583068642</v>
      </c>
      <c r="H104" s="87">
        <f t="shared" si="46"/>
        <v>1391213.4421650965</v>
      </c>
      <c r="I104" s="87">
        <f t="shared" si="47"/>
        <v>0.13698630136986298</v>
      </c>
      <c r="J104" s="106">
        <f>'GBD Estimates'!O22</f>
        <v>3.0623669766244701E-4</v>
      </c>
      <c r="K104" s="106">
        <f t="shared" si="48"/>
        <v>4.195023255649958E-5</v>
      </c>
      <c r="L104" s="87">
        <f>J104*C100</f>
        <v>7.4812829023521887</v>
      </c>
      <c r="M104" s="87">
        <f t="shared" si="49"/>
        <v>1.0248332742948201</v>
      </c>
      <c r="N104" s="4">
        <f>SUM('National CEA estimate'!C25)</f>
        <v>0.3</v>
      </c>
      <c r="O104" s="4">
        <f>N104</f>
        <v>0.3</v>
      </c>
      <c r="P104" s="123">
        <f>N104</f>
        <v>0.3</v>
      </c>
      <c r="Q104">
        <f t="shared" si="50"/>
        <v>5.3775234450792332E-6</v>
      </c>
      <c r="R104">
        <f t="shared" ref="R104:R115" si="51">M104/(B104-C104)</f>
        <v>5.9750260500880345E-7</v>
      </c>
      <c r="T104" s="124"/>
    </row>
    <row r="105" spans="1:32" ht="12.75" x14ac:dyDescent="0.2">
      <c r="A105" s="122" t="s">
        <v>129</v>
      </c>
      <c r="B105" s="87">
        <f t="shared" si="45"/>
        <v>1905771.8385823241</v>
      </c>
      <c r="C105" s="87">
        <f>B105*(1 - 'National CEA estimate'!P25)</f>
        <v>190577.18385823237</v>
      </c>
      <c r="D105" s="87">
        <f>B105*('National CEA estimate'!P25-'National CEA estimate'!Q25)</f>
        <v>28586.577578734887</v>
      </c>
      <c r="E105" s="87">
        <f>B105*('National CEA estimate'!Q25)</f>
        <v>1686608.0771453569</v>
      </c>
      <c r="F105" s="88">
        <v>0</v>
      </c>
      <c r="G105" s="87">
        <f>((D105)*(1-N105))+(E105*(1-O105))</f>
        <v>525993.02744872158</v>
      </c>
      <c r="H105" s="87">
        <f t="shared" si="46"/>
        <v>716570.21130695392</v>
      </c>
      <c r="I105" s="87">
        <f t="shared" si="47"/>
        <v>0.26595744680851058</v>
      </c>
      <c r="J105" s="106">
        <f>'GBD Estimates'!O23</f>
        <v>3.0623669766244701E-4</v>
      </c>
      <c r="K105" s="106">
        <f t="shared" si="48"/>
        <v>8.1445930229374179E-5</v>
      </c>
      <c r="L105" s="87">
        <f>J105*C100</f>
        <v>7.4812829023521887</v>
      </c>
      <c r="M105" s="87">
        <f t="shared" si="49"/>
        <v>1.9897028995617518</v>
      </c>
      <c r="N105" s="4">
        <f>N104</f>
        <v>0.3</v>
      </c>
      <c r="O105" s="4">
        <f>SUM('National CEA estimate'!C25:D25)</f>
        <v>0.7</v>
      </c>
      <c r="P105" s="123">
        <f>O105</f>
        <v>0.7</v>
      </c>
      <c r="Q105">
        <f t="shared" si="50"/>
        <v>1.0440404560925106E-5</v>
      </c>
      <c r="R105">
        <f t="shared" si="51"/>
        <v>1.1600449512139004E-6</v>
      </c>
      <c r="T105" s="124"/>
    </row>
    <row r="106" spans="1:32" ht="12.75" x14ac:dyDescent="0.2">
      <c r="A106" s="122" t="s">
        <v>130</v>
      </c>
      <c r="B106" s="87">
        <f t="shared" si="45"/>
        <v>11962121.451101553</v>
      </c>
      <c r="C106" s="87">
        <f>B106*(1 - 'National CEA estimate'!P25)</f>
        <v>1196212.145110155</v>
      </c>
      <c r="D106" s="87">
        <f>B106*('National CEA estimate'!P25-'National CEA estimate'!Q25)</f>
        <v>179431.82176652344</v>
      </c>
      <c r="E106" s="87">
        <f>B106*('National CEA estimate'!Q25-'National CEA estimate'!R25)</f>
        <v>179431.82176652344</v>
      </c>
      <c r="F106" s="87">
        <f>B106*('National CEA estimate'!R25)</f>
        <v>10407045.662458351</v>
      </c>
      <c r="G106" s="87">
        <f t="shared" ref="G106:G114" si="52">((D106)*(1-N106))+(E106*(1-O106))+(D106*(1-P106))</f>
        <v>188403.41285484962</v>
      </c>
      <c r="H106" s="87">
        <f t="shared" si="46"/>
        <v>1384615.5579650046</v>
      </c>
      <c r="I106" s="87">
        <f t="shared" si="47"/>
        <v>0.86393088552915753</v>
      </c>
      <c r="J106" s="106">
        <f>'GBD Estimates'!O24</f>
        <v>1.9221821290776808E-3</v>
      </c>
      <c r="K106" s="106">
        <f t="shared" si="48"/>
        <v>1.660632508922402E-3</v>
      </c>
      <c r="L106" s="87">
        <f>J106*C100</f>
        <v>46.958409646014182</v>
      </c>
      <c r="M106" s="87">
        <f t="shared" si="49"/>
        <v>40.568820428521967</v>
      </c>
      <c r="N106" s="4">
        <f>N104</f>
        <v>0.3</v>
      </c>
      <c r="O106" s="4">
        <f>O105</f>
        <v>0.7</v>
      </c>
      <c r="P106" s="123">
        <f>SUM('National CEA estimate'!C25:E25)</f>
        <v>0.95</v>
      </c>
      <c r="Q106">
        <f t="shared" si="50"/>
        <v>3.3914402720586094E-5</v>
      </c>
      <c r="R106">
        <f t="shared" si="51"/>
        <v>3.7682669689540094E-6</v>
      </c>
      <c r="T106" s="124"/>
    </row>
    <row r="107" spans="1:32" ht="12.75" x14ac:dyDescent="0.2">
      <c r="A107" s="122" t="s">
        <v>131</v>
      </c>
      <c r="B107" s="87">
        <f t="shared" si="45"/>
        <v>12421548.590759791</v>
      </c>
      <c r="C107" s="87">
        <f>B107*(1 - 'National CEA estimate'!P25)</f>
        <v>1242154.8590759789</v>
      </c>
      <c r="D107" s="87">
        <f>B107*('National CEA estimate'!P25-'National CEA estimate'!Q25)</f>
        <v>186323.22886139704</v>
      </c>
      <c r="E107" s="87">
        <f>B107*('National CEA estimate'!Q25-'National CEA estimate'!R25)</f>
        <v>186323.22886139704</v>
      </c>
      <c r="F107" s="87">
        <f>B107*('National CEA estimate'!R25)</f>
        <v>10806747.273961019</v>
      </c>
      <c r="G107" s="87">
        <f t="shared" si="52"/>
        <v>195639.39030446691</v>
      </c>
      <c r="H107" s="87">
        <f t="shared" si="46"/>
        <v>1437794.2493804458</v>
      </c>
      <c r="I107" s="87">
        <f t="shared" si="47"/>
        <v>0.86393088552915753</v>
      </c>
      <c r="J107" s="106">
        <f>'GBD Estimates'!O25</f>
        <v>1.9960070472641637E-3</v>
      </c>
      <c r="K107" s="106">
        <f t="shared" si="48"/>
        <v>1.7244121358653678E-3</v>
      </c>
      <c r="L107" s="87">
        <f>J107*C100</f>
        <v>48.76193320283123</v>
      </c>
      <c r="M107" s="87">
        <f t="shared" si="49"/>
        <v>42.126940132035614</v>
      </c>
      <c r="N107" s="4">
        <f>N104</f>
        <v>0.3</v>
      </c>
      <c r="O107" s="4">
        <f>O105</f>
        <v>0.7</v>
      </c>
      <c r="P107" s="123">
        <f>P106</f>
        <v>0.95</v>
      </c>
      <c r="Q107">
        <f t="shared" si="50"/>
        <v>3.3914402720586094E-5</v>
      </c>
      <c r="R107">
        <f t="shared" si="51"/>
        <v>3.7682669689540094E-6</v>
      </c>
      <c r="T107" s="124"/>
    </row>
    <row r="108" spans="1:32" ht="12.75" x14ac:dyDescent="0.2">
      <c r="A108" s="122" t="s">
        <v>132</v>
      </c>
      <c r="B108" s="87">
        <f t="shared" si="45"/>
        <v>6210842.3586598439</v>
      </c>
      <c r="C108" s="87">
        <f>B108*(1 - 'National CEA estimate'!P25)</f>
        <v>621084.23586598423</v>
      </c>
      <c r="D108" s="87">
        <f>B108*('National CEA estimate'!P25-'National CEA estimate'!Q25)</f>
        <v>93162.635379897736</v>
      </c>
      <c r="E108" s="87">
        <f>B108*('National CEA estimate'!Q25-'National CEA estimate'!R25)</f>
        <v>93162.635379897736</v>
      </c>
      <c r="F108" s="87">
        <f>B108*('National CEA estimate'!R25)</f>
        <v>5403432.852034064</v>
      </c>
      <c r="G108" s="87">
        <f t="shared" si="52"/>
        <v>97820.767148892628</v>
      </c>
      <c r="H108" s="87">
        <f t="shared" si="46"/>
        <v>718905.00301487686</v>
      </c>
      <c r="I108" s="87">
        <f t="shared" si="47"/>
        <v>0.86393088552915753</v>
      </c>
      <c r="J108" s="106">
        <f>'GBD Estimates'!O26</f>
        <v>9.980144606569982E-4</v>
      </c>
      <c r="K108" s="106">
        <f t="shared" si="48"/>
        <v>8.6221551676630504E-4</v>
      </c>
      <c r="L108" s="87">
        <f>J108*C100</f>
        <v>24.381233790090697</v>
      </c>
      <c r="M108" s="87">
        <f t="shared" si="49"/>
        <v>21.063700898566474</v>
      </c>
      <c r="N108" s="4">
        <f>N104</f>
        <v>0.3</v>
      </c>
      <c r="O108" s="4">
        <f>O105</f>
        <v>0.7</v>
      </c>
      <c r="P108" s="123">
        <f>P106</f>
        <v>0.95</v>
      </c>
      <c r="Q108">
        <f t="shared" si="50"/>
        <v>3.3914402720586101E-5</v>
      </c>
      <c r="R108">
        <f t="shared" si="51"/>
        <v>3.7682669689540098E-6</v>
      </c>
      <c r="T108" s="124"/>
    </row>
    <row r="109" spans="1:32" ht="12.75" x14ac:dyDescent="0.2">
      <c r="A109" s="122" t="s">
        <v>133</v>
      </c>
      <c r="B109" s="87">
        <f t="shared" si="45"/>
        <v>12421548.590759791</v>
      </c>
      <c r="C109" s="87">
        <f>B109*(1 - 'National CEA estimate'!P25)</f>
        <v>1242154.8590759789</v>
      </c>
      <c r="D109" s="87">
        <f>B109*('National CEA estimate'!P25-'National CEA estimate'!Q25)</f>
        <v>186323.22886139704</v>
      </c>
      <c r="E109" s="87">
        <f>B109*('National CEA estimate'!Q25-'National CEA estimate'!R25)</f>
        <v>186323.22886139704</v>
      </c>
      <c r="F109" s="87">
        <f>B109*('National CEA estimate'!R25)</f>
        <v>10806747.273961019</v>
      </c>
      <c r="G109" s="87">
        <f t="shared" si="52"/>
        <v>195639.39030446691</v>
      </c>
      <c r="H109" s="87">
        <f t="shared" si="46"/>
        <v>1437794.2493804458</v>
      </c>
      <c r="I109" s="87">
        <f t="shared" si="47"/>
        <v>0.86393088552915753</v>
      </c>
      <c r="J109" s="106">
        <f>'GBD Estimates'!O27</f>
        <v>1.9960070472641637E-3</v>
      </c>
      <c r="K109" s="106">
        <f t="shared" si="48"/>
        <v>1.7244121358653678E-3</v>
      </c>
      <c r="L109" s="87">
        <f>J109*C100</f>
        <v>48.76193320283123</v>
      </c>
      <c r="M109" s="87">
        <f t="shared" si="49"/>
        <v>42.126940132035614</v>
      </c>
      <c r="N109" s="4">
        <f>N104</f>
        <v>0.3</v>
      </c>
      <c r="O109" s="4">
        <f>O105</f>
        <v>0.7</v>
      </c>
      <c r="P109" s="123">
        <f>P106</f>
        <v>0.95</v>
      </c>
      <c r="Q109">
        <f t="shared" si="50"/>
        <v>3.3914402720586094E-5</v>
      </c>
      <c r="R109">
        <f t="shared" si="51"/>
        <v>3.7682669689540094E-6</v>
      </c>
      <c r="T109" s="124"/>
    </row>
    <row r="110" spans="1:32" ht="12.75" x14ac:dyDescent="0.2">
      <c r="A110" s="122" t="s">
        <v>134</v>
      </c>
      <c r="B110" s="87">
        <f t="shared" si="45"/>
        <v>74529223.481278807</v>
      </c>
      <c r="C110" s="87">
        <f>B110*(1 - 'National CEA estimate'!P25)</f>
        <v>7452922.3481278792</v>
      </c>
      <c r="D110" s="87">
        <f>B110*('National CEA estimate'!P25-'National CEA estimate'!Q25)</f>
        <v>1117938.352219183</v>
      </c>
      <c r="E110" s="87">
        <f>B110*('National CEA estimate'!Q25-'National CEA estimate'!R25)</f>
        <v>1117938.352219183</v>
      </c>
      <c r="F110" s="87">
        <f>B110*('National CEA estimate'!R25)</f>
        <v>64840424.428712562</v>
      </c>
      <c r="G110" s="87">
        <f t="shared" si="52"/>
        <v>1173835.2698301421</v>
      </c>
      <c r="H110" s="87">
        <f t="shared" si="46"/>
        <v>8626757.6179580204</v>
      </c>
      <c r="I110" s="87">
        <f t="shared" si="47"/>
        <v>0.86393088552915764</v>
      </c>
      <c r="J110" s="106">
        <f>'GBD Estimates'!O28</f>
        <v>5.3226927507210474E-3</v>
      </c>
      <c r="K110" s="106">
        <f t="shared" si="48"/>
        <v>4.5984386615300623E-3</v>
      </c>
      <c r="L110" s="87">
        <f>J110*C100</f>
        <v>130.03200000000001</v>
      </c>
      <c r="M110" s="87">
        <f t="shared" si="49"/>
        <v>112.33866090712743</v>
      </c>
      <c r="N110" s="4">
        <f>N104</f>
        <v>0.3</v>
      </c>
      <c r="O110" s="4">
        <f>O105</f>
        <v>0.7</v>
      </c>
      <c r="P110" s="123">
        <f>P106</f>
        <v>0.95</v>
      </c>
      <c r="Q110">
        <f t="shared" si="50"/>
        <v>1.5073102289244447E-5</v>
      </c>
      <c r="R110">
        <f t="shared" si="51"/>
        <v>1.6747891432493825E-6</v>
      </c>
      <c r="T110" s="124"/>
    </row>
    <row r="111" spans="1:32" ht="12.75" x14ac:dyDescent="0.2">
      <c r="A111" s="122" t="s">
        <v>135</v>
      </c>
      <c r="B111" s="87">
        <f t="shared" si="45"/>
        <v>253795974.49182943</v>
      </c>
      <c r="C111" s="87">
        <f>B111*(1 - 'National CEA estimate'!P25)</f>
        <v>25379597.449182935</v>
      </c>
      <c r="D111" s="87">
        <f>B111*('National CEA estimate'!P25-'National CEA estimate'!Q25)</f>
        <v>3806939.6173774446</v>
      </c>
      <c r="E111" s="87">
        <f>B111*('National CEA estimate'!Q25-'National CEA estimate'!R25)</f>
        <v>3806939.6173774446</v>
      </c>
      <c r="F111" s="87">
        <f>B111*('National CEA estimate'!R25)</f>
        <v>220802497.80789161</v>
      </c>
      <c r="G111" s="87">
        <f t="shared" si="52"/>
        <v>5071745.2139403457</v>
      </c>
      <c r="H111" s="87">
        <f t="shared" si="46"/>
        <v>30451342.66312328</v>
      </c>
      <c r="I111" s="87">
        <f t="shared" si="47"/>
        <v>0.83344756682659338</v>
      </c>
      <c r="J111" s="106">
        <f>'GBD Estimates'!O30</f>
        <v>9.7205291583127764E-3</v>
      </c>
      <c r="K111" s="106">
        <f t="shared" si="48"/>
        <v>8.1015513752627378E-3</v>
      </c>
      <c r="L111" s="87">
        <f>J111*C100</f>
        <v>237.46999999999997</v>
      </c>
      <c r="M111" s="87">
        <f t="shared" si="49"/>
        <v>197.91879369431109</v>
      </c>
      <c r="N111" s="106">
        <f t="shared" ref="N111:N114" si="53">(P111/P110)*N110</f>
        <v>0.25657894736842102</v>
      </c>
      <c r="O111" s="140">
        <f t="shared" ref="O111:O114" si="54">(P111/P110)*O110</f>
        <v>0.59868421052631571</v>
      </c>
      <c r="P111" s="106">
        <f>AVERAGE(0.855,0.77)</f>
        <v>0.8125</v>
      </c>
      <c r="Q111">
        <f t="shared" si="50"/>
        <v>7.7983425107746478E-6</v>
      </c>
      <c r="R111">
        <f t="shared" si="51"/>
        <v>8.6648250119718274E-7</v>
      </c>
      <c r="T111" s="124"/>
    </row>
    <row r="112" spans="1:32" ht="12.75" x14ac:dyDescent="0.2">
      <c r="A112" s="122" t="s">
        <v>136</v>
      </c>
      <c r="B112" s="87">
        <f t="shared" si="45"/>
        <v>702008399.68014467</v>
      </c>
      <c r="C112" s="87">
        <f>B112*(1 - 'National CEA estimate'!P25)</f>
        <v>70200839.968014449</v>
      </c>
      <c r="D112" s="87">
        <f>B112*('National CEA estimate'!P25-'National CEA estimate'!Q25)</f>
        <v>10530125.99520218</v>
      </c>
      <c r="E112" s="87">
        <f>B112*('National CEA estimate'!Q25-'National CEA estimate'!R25)</f>
        <v>10530125.99520218</v>
      </c>
      <c r="F112" s="87">
        <f>B112*('National CEA estimate'!R25)</f>
        <v>610747307.72172582</v>
      </c>
      <c r="G112" s="87">
        <f t="shared" si="52"/>
        <v>20434224.123907641</v>
      </c>
      <c r="H112" s="87">
        <f t="shared" si="46"/>
        <v>90635064.091922089</v>
      </c>
      <c r="I112" s="87">
        <f t="shared" si="47"/>
        <v>0.77454394357592937</v>
      </c>
      <c r="J112" s="106">
        <f>'GBD Estimates'!O31</f>
        <v>0.39867841409691629</v>
      </c>
      <c r="K112" s="106">
        <f t="shared" si="48"/>
        <v>0.30879395107322294</v>
      </c>
      <c r="L112" s="87">
        <f>J112*C100</f>
        <v>9739.61</v>
      </c>
      <c r="M112" s="87">
        <f t="shared" si="49"/>
        <v>7543.7559382915579</v>
      </c>
      <c r="N112" s="106">
        <f t="shared" si="53"/>
        <v>0.16299248120300749</v>
      </c>
      <c r="O112" s="140">
        <f t="shared" si="54"/>
        <v>0.38031578947368416</v>
      </c>
      <c r="P112" s="106">
        <f>AVERAGE(0.693,0.623,0.561,0.505,0.454,0.409,0.368)</f>
        <v>0.51614285714285713</v>
      </c>
      <c r="Q112">
        <f t="shared" si="50"/>
        <v>1.074596250091696E-4</v>
      </c>
      <c r="R112">
        <f t="shared" si="51"/>
        <v>1.1939958334352174E-5</v>
      </c>
      <c r="T112" s="124"/>
    </row>
    <row r="113" spans="1:20" ht="12.75" x14ac:dyDescent="0.2">
      <c r="A113" s="122" t="s">
        <v>137</v>
      </c>
      <c r="B113" s="87">
        <f t="shared" si="45"/>
        <v>187034120.04369521</v>
      </c>
      <c r="C113" s="87">
        <f>B113*(1 - 'National CEA estimate'!P25)</f>
        <v>18703412.004369516</v>
      </c>
      <c r="D113" s="87">
        <f>B113*('National CEA estimate'!P25-'National CEA estimate'!Q25)</f>
        <v>2805511.8006554306</v>
      </c>
      <c r="E113" s="87">
        <f>B113*('National CEA estimate'!Q25-'National CEA estimate'!R25)</f>
        <v>2805511.8006554306</v>
      </c>
      <c r="F113" s="87">
        <f>B113*('National CEA estimate'!R25)</f>
        <v>162719684.43801484</v>
      </c>
      <c r="G113" s="87">
        <f t="shared" si="52"/>
        <v>6778190.3396414332</v>
      </c>
      <c r="H113" s="87">
        <f t="shared" si="46"/>
        <v>25481602.344010949</v>
      </c>
      <c r="I113" s="87">
        <f t="shared" si="47"/>
        <v>0.73399669894642472</v>
      </c>
      <c r="J113" s="106">
        <f>'GBD Estimates'!O32</f>
        <v>0.35546796650312279</v>
      </c>
      <c r="K113" s="106">
        <f t="shared" si="48"/>
        <v>0.26091231399449039</v>
      </c>
      <c r="L113" s="87">
        <f>J113*C100</f>
        <v>8683.99</v>
      </c>
      <c r="M113" s="87">
        <f t="shared" si="49"/>
        <v>6374.0199936837626</v>
      </c>
      <c r="N113" s="106">
        <f t="shared" si="53"/>
        <v>8.9842105263157876E-2</v>
      </c>
      <c r="O113" s="140">
        <f t="shared" si="54"/>
        <v>0.20963157894736839</v>
      </c>
      <c r="P113" s="106">
        <f>AVERAGE(0.331,0.298,0.268,0.241)</f>
        <v>0.28449999999999998</v>
      </c>
      <c r="Q113">
        <f t="shared" si="50"/>
        <v>3.4079450274605806E-4</v>
      </c>
      <c r="R113">
        <f t="shared" si="51"/>
        <v>3.7866055860673109E-5</v>
      </c>
      <c r="T113" s="124"/>
    </row>
    <row r="114" spans="1:20" ht="12.75" x14ac:dyDescent="0.2">
      <c r="A114" s="122" t="s">
        <v>138</v>
      </c>
      <c r="B114" s="87">
        <f t="shared" si="45"/>
        <v>44591513.345568866</v>
      </c>
      <c r="C114" s="87">
        <f>B114*(1 - 'National CEA estimate'!P25)</f>
        <v>4459151.334556886</v>
      </c>
      <c r="D114" s="87">
        <f>B114*('National CEA estimate'!P25-'National CEA estimate'!Q25)</f>
        <v>668872.7001835336</v>
      </c>
      <c r="E114" s="87">
        <f>B114*('National CEA estimate'!Q25-'National CEA estimate'!R25)</f>
        <v>668872.7001835336</v>
      </c>
      <c r="F114" s="87">
        <f>B114*('National CEA estimate'!R25)</f>
        <v>38794616.610644914</v>
      </c>
      <c r="G114" s="87">
        <f t="shared" si="52"/>
        <v>1737062.4023766369</v>
      </c>
      <c r="H114" s="87">
        <f t="shared" si="46"/>
        <v>6196213.7369335229</v>
      </c>
      <c r="I114" s="87">
        <f t="shared" si="47"/>
        <v>0.71965744305710455</v>
      </c>
      <c r="J114" s="106">
        <f>'GBD Estimates'!O33</f>
        <v>0.22282676770198945</v>
      </c>
      <c r="K114" s="171">
        <f t="shared" si="48"/>
        <v>0.16035894188909314</v>
      </c>
      <c r="L114" s="87">
        <f>J114*C100</f>
        <v>5443.6</v>
      </c>
      <c r="M114" s="87">
        <f t="shared" si="49"/>
        <v>3917.5272570256548</v>
      </c>
      <c r="N114" s="106">
        <f t="shared" si="53"/>
        <v>6.1999999999999986E-2</v>
      </c>
      <c r="O114" s="140">
        <f t="shared" si="54"/>
        <v>0.14466666666666664</v>
      </c>
      <c r="P114" s="106">
        <f>AVERAGE(0.217,0.196,0.176)</f>
        <v>0.19633333333333333</v>
      </c>
      <c r="Q114">
        <f t="shared" si="50"/>
        <v>8.7853651134604219E-4</v>
      </c>
      <c r="R114">
        <f t="shared" si="51"/>
        <v>9.7615167927338003E-5</v>
      </c>
      <c r="T114" s="124"/>
    </row>
    <row r="115" spans="1:20" ht="12.75" x14ac:dyDescent="0.2">
      <c r="A115" s="145" t="s">
        <v>103</v>
      </c>
      <c r="B115" s="146">
        <f t="shared" si="45"/>
        <v>1311636774.868042</v>
      </c>
      <c r="C115" s="146">
        <f t="shared" ref="C115:H115" si="55">SUM(C103:C114)</f>
        <v>133737341.32896972</v>
      </c>
      <c r="D115" s="146">
        <f t="shared" si="55"/>
        <v>21318410.612809815</v>
      </c>
      <c r="E115" s="146">
        <f t="shared" si="55"/>
        <v>21261237.457652345</v>
      </c>
      <c r="F115" s="146">
        <f t="shared" si="55"/>
        <v>1135328504.0694041</v>
      </c>
      <c r="G115" s="146">
        <f t="shared" si="55"/>
        <v>37599189.596064463</v>
      </c>
      <c r="H115" s="146">
        <f t="shared" si="55"/>
        <v>171336530.92503417</v>
      </c>
      <c r="I115" s="147"/>
      <c r="J115" s="148">
        <f t="shared" ref="J115:M115" si="56">SUM(J103:J114)</f>
        <v>1.000000409337144</v>
      </c>
      <c r="K115" s="148">
        <f t="shared" si="56"/>
        <v>0.74931962050029832</v>
      </c>
      <c r="L115" s="146">
        <f t="shared" si="56"/>
        <v>24429.75</v>
      </c>
      <c r="M115" s="87">
        <f t="shared" si="56"/>
        <v>18305.683505720961</v>
      </c>
      <c r="P115" s="147"/>
      <c r="Q115" s="147">
        <f t="shared" si="50"/>
        <v>1.3687787811402863E-4</v>
      </c>
      <c r="R115" s="147">
        <f t="shared" si="51"/>
        <v>1.5540956200921496E-5</v>
      </c>
      <c r="S115" s="147">
        <f>SUM(M103:M110)/SUM(C103:C110)</f>
        <v>1.8170957349007226E-5</v>
      </c>
      <c r="T115" s="149">
        <f>SUM(M104:M110)/SUM(C104:C110)</f>
        <v>2.1526567779922393E-5</v>
      </c>
    </row>
  </sheetData>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98"/>
  <sheetViews>
    <sheetView workbookViewId="0"/>
  </sheetViews>
  <sheetFormatPr defaultColWidth="14.42578125" defaultRowHeight="15.75" customHeight="1" x14ac:dyDescent="0.2"/>
  <cols>
    <col min="1" max="1" width="44" customWidth="1"/>
    <col min="5" max="5" width="10.140625" customWidth="1"/>
    <col min="6" max="6" width="54.28515625" customWidth="1"/>
  </cols>
  <sheetData>
    <row r="1" spans="1:9" x14ac:dyDescent="0.25">
      <c r="A1" s="154" t="s">
        <v>230</v>
      </c>
      <c r="B1" s="154" t="s">
        <v>231</v>
      </c>
      <c r="C1" s="154" t="s">
        <v>232</v>
      </c>
      <c r="D1" s="154" t="s">
        <v>233</v>
      </c>
      <c r="E1" s="155"/>
      <c r="F1" s="154" t="s">
        <v>234</v>
      </c>
      <c r="G1" s="154" t="s">
        <v>231</v>
      </c>
      <c r="H1" s="154" t="s">
        <v>232</v>
      </c>
      <c r="I1" s="154" t="s">
        <v>233</v>
      </c>
    </row>
    <row r="2" spans="1:9" ht="15.75" customHeight="1" x14ac:dyDescent="0.2">
      <c r="A2" s="156" t="s">
        <v>235</v>
      </c>
      <c r="B2" s="157">
        <f t="shared" ref="B2:D2" si="0">SUM(B3:B4)</f>
        <v>1201</v>
      </c>
      <c r="C2" s="157">
        <f t="shared" si="0"/>
        <v>1203</v>
      </c>
      <c r="D2" s="157">
        <f t="shared" si="0"/>
        <v>4805</v>
      </c>
      <c r="E2" s="158"/>
      <c r="F2" s="156" t="s">
        <v>236</v>
      </c>
      <c r="G2" s="157"/>
      <c r="H2" s="157"/>
      <c r="I2" s="157"/>
    </row>
    <row r="3" spans="1:9" ht="15.75" customHeight="1" x14ac:dyDescent="0.2">
      <c r="A3" s="159" t="s">
        <v>237</v>
      </c>
      <c r="B3" s="153">
        <v>1200</v>
      </c>
      <c r="C3" s="153">
        <v>1200</v>
      </c>
      <c r="D3" s="153">
        <v>4800</v>
      </c>
      <c r="E3" s="160"/>
      <c r="F3" s="161" t="s">
        <v>238</v>
      </c>
      <c r="G3" s="162">
        <f t="shared" ref="G3:I3" si="1">B2+B6+B42+B46</f>
        <v>114498.68</v>
      </c>
      <c r="H3" s="162">
        <f t="shared" si="1"/>
        <v>249911.64</v>
      </c>
      <c r="I3" s="162">
        <f t="shared" si="1"/>
        <v>84905</v>
      </c>
    </row>
    <row r="4" spans="1:9" ht="15.75" customHeight="1" x14ac:dyDescent="0.2">
      <c r="A4" s="159" t="s">
        <v>239</v>
      </c>
      <c r="B4" s="153">
        <v>1</v>
      </c>
      <c r="C4" s="153">
        <v>3</v>
      </c>
      <c r="D4" s="153">
        <v>5</v>
      </c>
      <c r="E4" s="160"/>
      <c r="F4" s="161" t="s">
        <v>240</v>
      </c>
      <c r="G4" s="162">
        <f t="shared" ref="G4:H4" si="2">B6+B47</f>
        <v>113000</v>
      </c>
      <c r="H4" s="162">
        <f t="shared" si="2"/>
        <v>148000</v>
      </c>
      <c r="I4" s="153">
        <v>40000</v>
      </c>
    </row>
    <row r="5" spans="1:9" ht="15.75" customHeight="1" x14ac:dyDescent="0.2">
      <c r="A5" s="153"/>
      <c r="B5" s="153"/>
      <c r="C5" s="153"/>
      <c r="D5" s="153"/>
      <c r="E5" s="160"/>
      <c r="F5" s="161" t="s">
        <v>241</v>
      </c>
      <c r="G5" s="93">
        <f t="shared" ref="G5:I5" si="3">SUM(G6:G7)</f>
        <v>37000</v>
      </c>
      <c r="H5" s="93">
        <f t="shared" si="3"/>
        <v>320000</v>
      </c>
      <c r="I5" s="93">
        <f t="shared" si="3"/>
        <v>600000</v>
      </c>
    </row>
    <row r="6" spans="1:9" ht="15.75" customHeight="1" x14ac:dyDescent="0.2">
      <c r="A6" s="156" t="s">
        <v>242</v>
      </c>
      <c r="B6" s="157">
        <f t="shared" ref="B6:D6" si="4">SUM(B7:B10)</f>
        <v>103000</v>
      </c>
      <c r="C6" s="157">
        <f t="shared" si="4"/>
        <v>128000</v>
      </c>
      <c r="D6" s="157">
        <f t="shared" si="4"/>
        <v>80000</v>
      </c>
      <c r="E6" s="160"/>
      <c r="F6" s="161" t="s">
        <v>243</v>
      </c>
      <c r="G6" s="93">
        <f t="shared" ref="G6:I6" si="5">SUM(B24,B39)</f>
        <v>25000</v>
      </c>
      <c r="H6" s="93">
        <f t="shared" si="5"/>
        <v>200000</v>
      </c>
      <c r="I6" s="93">
        <f t="shared" si="5"/>
        <v>300000</v>
      </c>
    </row>
    <row r="7" spans="1:9" ht="15.75" customHeight="1" x14ac:dyDescent="0.2">
      <c r="A7" s="159" t="s">
        <v>244</v>
      </c>
      <c r="B7" s="153">
        <v>91000</v>
      </c>
      <c r="C7" s="153">
        <v>98000</v>
      </c>
      <c r="D7" s="153">
        <v>50000</v>
      </c>
      <c r="E7" s="160"/>
      <c r="F7" s="161" t="s">
        <v>245</v>
      </c>
      <c r="G7" s="93">
        <f t="shared" ref="G7:I7" si="6">B34</f>
        <v>12000</v>
      </c>
      <c r="H7" s="93">
        <f t="shared" si="6"/>
        <v>120000</v>
      </c>
      <c r="I7" s="93">
        <f t="shared" si="6"/>
        <v>300000</v>
      </c>
    </row>
    <row r="8" spans="1:9" ht="15.75" customHeight="1" x14ac:dyDescent="0.2">
      <c r="A8" s="159" t="s">
        <v>246</v>
      </c>
      <c r="B8" s="153">
        <v>12000</v>
      </c>
      <c r="C8" s="153">
        <v>30000</v>
      </c>
      <c r="D8" s="153">
        <v>30000</v>
      </c>
      <c r="E8" s="160"/>
      <c r="F8" s="161" t="s">
        <v>247</v>
      </c>
      <c r="G8" s="93">
        <f t="shared" ref="G8:I8" si="7">B39</f>
        <v>20000</v>
      </c>
      <c r="H8" s="93">
        <f t="shared" si="7"/>
        <v>160000</v>
      </c>
      <c r="I8" s="93">
        <f t="shared" si="7"/>
        <v>150000</v>
      </c>
    </row>
    <row r="9" spans="1:9" ht="15.75" customHeight="1" x14ac:dyDescent="0.2">
      <c r="A9" s="159"/>
      <c r="B9" s="153"/>
      <c r="C9" s="153"/>
      <c r="D9" s="153"/>
      <c r="E9" s="160"/>
      <c r="F9" s="161" t="s">
        <v>248</v>
      </c>
      <c r="G9" s="93">
        <f t="shared" ref="G9:I9" si="8">B24</f>
        <v>5000</v>
      </c>
      <c r="H9" s="93">
        <f t="shared" si="8"/>
        <v>40000</v>
      </c>
      <c r="I9" s="93">
        <f t="shared" si="8"/>
        <v>150000</v>
      </c>
    </row>
    <row r="10" spans="1:9" ht="15.75" customHeight="1" x14ac:dyDescent="0.2">
      <c r="A10" s="159"/>
      <c r="B10" s="153"/>
      <c r="C10" s="153"/>
      <c r="D10" s="153"/>
      <c r="E10" s="158"/>
      <c r="F10" s="163" t="s">
        <v>249</v>
      </c>
      <c r="G10" s="93">
        <f t="shared" ref="G10:I10" si="9">SUM(G7,G9)</f>
        <v>17000</v>
      </c>
      <c r="H10" s="93">
        <f t="shared" si="9"/>
        <v>160000</v>
      </c>
      <c r="I10" s="93">
        <f t="shared" si="9"/>
        <v>450000</v>
      </c>
    </row>
    <row r="11" spans="1:9" ht="15.75" customHeight="1" x14ac:dyDescent="0.2">
      <c r="E11" s="160"/>
    </row>
    <row r="12" spans="1:9" ht="15.75" customHeight="1" x14ac:dyDescent="0.2">
      <c r="A12" s="162"/>
      <c r="B12" s="162"/>
      <c r="C12" s="162"/>
      <c r="D12" s="162"/>
      <c r="E12" s="160"/>
      <c r="F12" s="156" t="s">
        <v>250</v>
      </c>
      <c r="G12" s="157"/>
      <c r="H12" s="157"/>
      <c r="I12" s="157"/>
    </row>
    <row r="13" spans="1:9" x14ac:dyDescent="0.25">
      <c r="A13" s="154" t="s">
        <v>251</v>
      </c>
      <c r="B13" s="154" t="s">
        <v>231</v>
      </c>
      <c r="C13" s="154" t="s">
        <v>232</v>
      </c>
      <c r="D13" s="154" t="s">
        <v>233</v>
      </c>
      <c r="E13" s="160"/>
      <c r="F13" s="159" t="s">
        <v>252</v>
      </c>
      <c r="G13" s="55">
        <f t="shared" ref="G13:I13" si="10">(G3+(G9*B25)+(G9*B17*B15))/G9</f>
        <v>25.057935999999998</v>
      </c>
      <c r="H13" s="55">
        <f t="shared" si="10"/>
        <v>6.7659910000000005</v>
      </c>
      <c r="I13" s="55">
        <f t="shared" si="10"/>
        <v>0.91236666666666666</v>
      </c>
    </row>
    <row r="14" spans="1:9" ht="15.75" customHeight="1" x14ac:dyDescent="0.2">
      <c r="A14" s="156" t="s">
        <v>253</v>
      </c>
      <c r="B14" s="157"/>
      <c r="C14" s="157"/>
      <c r="D14" s="157"/>
      <c r="E14" s="160"/>
      <c r="F14" s="159" t="s">
        <v>254</v>
      </c>
      <c r="G14" s="164">
        <f t="shared" ref="G14:I14" si="11">(G3+(B35*G7) + (G7*B17*B15))/G7</f>
        <v>9.8180899999999998</v>
      </c>
      <c r="H14" s="164">
        <f t="shared" si="11"/>
        <v>2.4424636666666668</v>
      </c>
      <c r="I14" s="164">
        <f t="shared" si="11"/>
        <v>0.54601666666666671</v>
      </c>
    </row>
    <row r="15" spans="1:9" ht="15.75" customHeight="1" x14ac:dyDescent="0.2">
      <c r="A15" s="165" t="s">
        <v>255</v>
      </c>
      <c r="B15" s="166">
        <v>1.2999999999999999E-3</v>
      </c>
      <c r="C15" s="166">
        <v>1.2999999999999999E-3</v>
      </c>
      <c r="D15" s="166">
        <f>C15/2</f>
        <v>6.4999999999999997E-4</v>
      </c>
      <c r="E15" s="160"/>
      <c r="F15" s="159" t="s">
        <v>256</v>
      </c>
      <c r="G15" s="164">
        <f t="shared" ref="G15:I15" si="12">(G4+G8*B38)/G8</f>
        <v>10.65</v>
      </c>
      <c r="H15" s="164">
        <f t="shared" si="12"/>
        <v>1.57</v>
      </c>
      <c r="I15" s="164">
        <f t="shared" si="12"/>
        <v>0.76666666666666672</v>
      </c>
    </row>
    <row r="16" spans="1:9" ht="15.75" customHeight="1" x14ac:dyDescent="0.2">
      <c r="A16" s="159" t="s">
        <v>257</v>
      </c>
      <c r="B16" s="108">
        <v>5</v>
      </c>
      <c r="C16" s="108">
        <v>5</v>
      </c>
      <c r="D16" s="108">
        <v>5</v>
      </c>
      <c r="E16" s="160"/>
      <c r="F16" s="159"/>
      <c r="G16" s="164"/>
      <c r="H16" s="153"/>
      <c r="I16" s="164"/>
    </row>
    <row r="17" spans="1:9" ht="15.75" customHeight="1" x14ac:dyDescent="0.2">
      <c r="A17" s="159" t="s">
        <v>258</v>
      </c>
      <c r="B17" s="108">
        <v>14</v>
      </c>
      <c r="C17" s="108">
        <v>14</v>
      </c>
      <c r="D17" s="108">
        <v>20</v>
      </c>
      <c r="E17" s="167"/>
      <c r="F17" s="156" t="s">
        <v>259</v>
      </c>
      <c r="G17" s="157"/>
      <c r="H17" s="157"/>
      <c r="I17" s="157"/>
    </row>
    <row r="18" spans="1:9" ht="15.75" customHeight="1" x14ac:dyDescent="0.2">
      <c r="A18" s="161" t="s">
        <v>260</v>
      </c>
      <c r="B18">
        <f t="shared" ref="B18:D18" si="13">B17/B16</f>
        <v>2.8</v>
      </c>
      <c r="C18">
        <f t="shared" si="13"/>
        <v>2.8</v>
      </c>
      <c r="D18">
        <f t="shared" si="13"/>
        <v>4</v>
      </c>
      <c r="E18" s="160"/>
      <c r="F18" s="159" t="s">
        <v>252</v>
      </c>
      <c r="G18" s="55">
        <f t="shared" ref="G18:I18" si="14">((G3*0.5)+(G9*B25)+(G9*B17*B15))/G9</f>
        <v>13.608067999999999</v>
      </c>
      <c r="H18" s="55">
        <f t="shared" si="14"/>
        <v>3.6420955000000004</v>
      </c>
      <c r="I18" s="55">
        <f t="shared" si="14"/>
        <v>0.62934999999999997</v>
      </c>
    </row>
    <row r="19" spans="1:9" ht="15.75" customHeight="1" x14ac:dyDescent="0.2">
      <c r="A19" s="159" t="s">
        <v>261</v>
      </c>
      <c r="B19" s="87">
        <f t="shared" ref="B19:D19" si="15">B17/B16/12</f>
        <v>0.23333333333333331</v>
      </c>
      <c r="C19" s="87">
        <f t="shared" si="15"/>
        <v>0.23333333333333331</v>
      </c>
      <c r="D19" s="87">
        <f t="shared" si="15"/>
        <v>0.33333333333333331</v>
      </c>
      <c r="E19" s="160"/>
      <c r="F19" s="159" t="s">
        <v>254</v>
      </c>
      <c r="G19" s="55">
        <f t="shared" ref="G19:I19" si="16">((G3*0.5)+(B35*G7) + (G7*B17*B15))/G7</f>
        <v>5.0473116666666664</v>
      </c>
      <c r="H19" s="55">
        <f t="shared" si="16"/>
        <v>1.4011651666666667</v>
      </c>
      <c r="I19" s="55">
        <f t="shared" si="16"/>
        <v>0.40450833333333336</v>
      </c>
    </row>
    <row r="20" spans="1:9" ht="15.75" customHeight="1" x14ac:dyDescent="0.2">
      <c r="A20" s="168"/>
      <c r="B20" s="162"/>
      <c r="C20" s="162"/>
      <c r="D20" s="162"/>
      <c r="E20" s="160"/>
      <c r="F20" s="159" t="s">
        <v>256</v>
      </c>
      <c r="G20" s="55">
        <f t="shared" ref="G20:I20" si="17">(G4*0.5+G8*B38)/G8</f>
        <v>7.8250000000000002</v>
      </c>
      <c r="H20" s="55">
        <f t="shared" si="17"/>
        <v>1.1074999999999999</v>
      </c>
      <c r="I20" s="55">
        <f t="shared" si="17"/>
        <v>0.6333333333333333</v>
      </c>
    </row>
    <row r="21" spans="1:9" x14ac:dyDescent="0.25">
      <c r="A21" s="154" t="s">
        <v>262</v>
      </c>
      <c r="B21" s="154" t="s">
        <v>231</v>
      </c>
      <c r="C21" s="154" t="s">
        <v>232</v>
      </c>
      <c r="D21" s="154" t="s">
        <v>233</v>
      </c>
      <c r="E21" s="169"/>
      <c r="F21" s="159" t="s">
        <v>263</v>
      </c>
      <c r="G21" s="55">
        <f t="shared" ref="G21:I21" si="18">AVERAGE(G18,G19)</f>
        <v>9.3276898333333325</v>
      </c>
      <c r="H21" s="55">
        <f t="shared" si="18"/>
        <v>2.5216303333333334</v>
      </c>
      <c r="I21" s="170">
        <f t="shared" si="18"/>
        <v>0.51692916666666666</v>
      </c>
    </row>
    <row r="22" spans="1:9" ht="15.75" customHeight="1" x14ac:dyDescent="0.2">
      <c r="A22" s="156" t="s">
        <v>265</v>
      </c>
      <c r="B22" s="157"/>
      <c r="C22" s="157"/>
      <c r="D22" s="157"/>
      <c r="E22" s="158"/>
      <c r="F22" s="159"/>
      <c r="G22" s="55"/>
      <c r="H22" s="55"/>
      <c r="I22" s="55"/>
    </row>
    <row r="23" spans="1:9" ht="15.75" customHeight="1" x14ac:dyDescent="0.2">
      <c r="A23" s="159" t="s">
        <v>266</v>
      </c>
      <c r="B23" s="153">
        <v>10700</v>
      </c>
      <c r="C23" s="153">
        <v>20000</v>
      </c>
      <c r="D23" s="153">
        <v>50000</v>
      </c>
      <c r="E23" s="160"/>
      <c r="F23" s="156" t="s">
        <v>267</v>
      </c>
      <c r="G23" s="157"/>
      <c r="H23" s="157"/>
      <c r="I23" s="157"/>
    </row>
    <row r="24" spans="1:9" ht="15.75" customHeight="1" x14ac:dyDescent="0.2">
      <c r="A24" s="165" t="s">
        <v>268</v>
      </c>
      <c r="B24" s="108">
        <v>5000</v>
      </c>
      <c r="C24" s="108">
        <v>40000</v>
      </c>
      <c r="D24" s="108">
        <v>150000</v>
      </c>
      <c r="E24" s="160"/>
      <c r="F24" s="159" t="s">
        <v>252</v>
      </c>
      <c r="G24" s="55">
        <f t="shared" ref="G24:I24" si="19">((G3*0.33)+(G9*B25)+(G9*B17*B15))/G9</f>
        <v>9.7151128800000013</v>
      </c>
      <c r="H24" s="55">
        <f t="shared" si="19"/>
        <v>2.5799710300000003</v>
      </c>
      <c r="I24" s="55">
        <f t="shared" si="19"/>
        <v>0.53312433333333331</v>
      </c>
    </row>
    <row r="25" spans="1:9" ht="15.75" customHeight="1" x14ac:dyDescent="0.2">
      <c r="A25" s="159" t="s">
        <v>269</v>
      </c>
      <c r="B25" s="162">
        <f t="shared" ref="B25:D25" si="20">B23/B24</f>
        <v>2.14</v>
      </c>
      <c r="C25" s="162">
        <f t="shared" si="20"/>
        <v>0.5</v>
      </c>
      <c r="D25" s="55">
        <f t="shared" si="20"/>
        <v>0.33333333333333331</v>
      </c>
      <c r="E25" s="160"/>
      <c r="F25" s="159" t="s">
        <v>254</v>
      </c>
      <c r="G25" s="55">
        <f t="shared" ref="G25:I25" si="21">((G3*0.33)+(B35*G7) + (G7*B17*B15))/G7</f>
        <v>3.4252470333333336</v>
      </c>
      <c r="H25" s="55">
        <f t="shared" si="21"/>
        <v>1.0471236766666667</v>
      </c>
      <c r="I25" s="55">
        <f t="shared" si="21"/>
        <v>0.35639549999999998</v>
      </c>
    </row>
    <row r="26" spans="1:9" ht="15.75" customHeight="1" x14ac:dyDescent="0.2">
      <c r="A26" s="162"/>
      <c r="B26" s="162"/>
      <c r="C26" s="162"/>
      <c r="D26" s="162"/>
      <c r="E26" s="160"/>
      <c r="F26" s="159" t="s">
        <v>256</v>
      </c>
      <c r="G26" s="55">
        <f t="shared" ref="G26:I26" si="22">(G4*0.33+G8*B38)/G8</f>
        <v>6.8644999999999996</v>
      </c>
      <c r="H26" s="55">
        <f t="shared" si="22"/>
        <v>0.95025000000000004</v>
      </c>
      <c r="I26" s="55">
        <f t="shared" si="22"/>
        <v>0.58799999999999997</v>
      </c>
    </row>
    <row r="27" spans="1:9" ht="15.75" customHeight="1" x14ac:dyDescent="0.2">
      <c r="A27" s="156" t="s">
        <v>270</v>
      </c>
      <c r="B27" s="157"/>
      <c r="C27" s="157"/>
      <c r="D27" s="157"/>
      <c r="E27" s="160"/>
      <c r="F27" s="168"/>
      <c r="G27" s="162"/>
      <c r="H27" s="162"/>
      <c r="I27" s="55"/>
    </row>
    <row r="28" spans="1:9" ht="15.75" customHeight="1" x14ac:dyDescent="0.2">
      <c r="A28" s="159" t="s">
        <v>271</v>
      </c>
      <c r="B28" s="153">
        <v>3100</v>
      </c>
      <c r="C28" s="153">
        <v>3100</v>
      </c>
      <c r="D28" s="153">
        <v>2000</v>
      </c>
      <c r="E28" s="158"/>
      <c r="F28" s="156" t="s">
        <v>272</v>
      </c>
      <c r="G28" s="157"/>
      <c r="H28" s="157"/>
      <c r="I28" s="157"/>
    </row>
    <row r="29" spans="1:9" ht="15.75" customHeight="1" x14ac:dyDescent="0.2">
      <c r="A29" s="159" t="s">
        <v>273</v>
      </c>
      <c r="B29" s="108">
        <v>1</v>
      </c>
      <c r="C29" s="108">
        <v>10</v>
      </c>
      <c r="D29" s="108">
        <v>25</v>
      </c>
      <c r="E29" s="160"/>
      <c r="F29" s="159" t="s">
        <v>252</v>
      </c>
      <c r="G29" s="55">
        <f t="shared" ref="G29:I29" si="23">((G9*B25)+(G9*B17*B15))/G9</f>
        <v>2.1581999999999999</v>
      </c>
      <c r="H29" s="55">
        <f t="shared" si="23"/>
        <v>0.51819999999999999</v>
      </c>
      <c r="I29" s="55">
        <f t="shared" si="23"/>
        <v>0.34633333333333333</v>
      </c>
    </row>
    <row r="30" spans="1:9" ht="12.75" x14ac:dyDescent="0.2">
      <c r="A30" s="159" t="s">
        <v>274</v>
      </c>
      <c r="B30" s="153">
        <v>10000</v>
      </c>
      <c r="C30" s="153">
        <v>10000</v>
      </c>
      <c r="D30" s="153">
        <v>10000</v>
      </c>
      <c r="E30" s="160"/>
      <c r="F30" s="159" t="s">
        <v>254</v>
      </c>
      <c r="G30" s="55">
        <f t="shared" ref="G30:I30" si="24">((B35*G7) + (G7*B17*B15))/G7</f>
        <v>0.27653333333333335</v>
      </c>
      <c r="H30" s="55">
        <f t="shared" si="24"/>
        <v>0.35986666666666667</v>
      </c>
      <c r="I30" s="55">
        <f t="shared" si="24"/>
        <v>0.26300000000000001</v>
      </c>
    </row>
    <row r="31" spans="1:9" ht="12.75" x14ac:dyDescent="0.2">
      <c r="A31" s="159" t="s">
        <v>275</v>
      </c>
      <c r="B31" s="108">
        <v>0</v>
      </c>
      <c r="C31" s="108">
        <v>1</v>
      </c>
      <c r="D31" s="175">
        <v>2.5</v>
      </c>
      <c r="E31" s="160"/>
      <c r="F31" s="159" t="s">
        <v>256</v>
      </c>
      <c r="G31" s="55">
        <f t="shared" ref="G31:I31" si="25">(G8*B38)/G8</f>
        <v>5</v>
      </c>
      <c r="H31" s="55">
        <f t="shared" si="25"/>
        <v>0.64500000000000002</v>
      </c>
      <c r="I31" s="55">
        <f t="shared" si="25"/>
        <v>0.5</v>
      </c>
    </row>
    <row r="32" spans="1:9" ht="12.75" x14ac:dyDescent="0.2">
      <c r="A32" s="159" t="s">
        <v>276</v>
      </c>
      <c r="B32" s="108">
        <v>12000</v>
      </c>
      <c r="C32" s="108">
        <v>12000</v>
      </c>
      <c r="D32" s="108">
        <v>12000</v>
      </c>
      <c r="E32" s="160"/>
      <c r="F32" s="159" t="s">
        <v>263</v>
      </c>
      <c r="G32" s="55">
        <f t="shared" ref="G32:I32" si="26">AVERAGE(G29,G30)</f>
        <v>1.2173666666666667</v>
      </c>
      <c r="H32" s="55">
        <f t="shared" si="26"/>
        <v>0.43903333333333333</v>
      </c>
      <c r="I32" s="55">
        <f t="shared" si="26"/>
        <v>0.30466666666666664</v>
      </c>
    </row>
    <row r="33" spans="1:9" ht="12.75" x14ac:dyDescent="0.2">
      <c r="A33" s="159" t="s">
        <v>277</v>
      </c>
      <c r="B33" s="153">
        <f t="shared" ref="B33:D33" si="27">(B28 * B29) + (B30 * B31)</f>
        <v>3100</v>
      </c>
      <c r="C33" s="153">
        <f t="shared" si="27"/>
        <v>41000</v>
      </c>
      <c r="D33" s="153">
        <f t="shared" si="27"/>
        <v>75000</v>
      </c>
      <c r="E33" s="160"/>
    </row>
    <row r="34" spans="1:9" ht="12.75" x14ac:dyDescent="0.2">
      <c r="A34" s="159" t="s">
        <v>278</v>
      </c>
      <c r="B34" s="108">
        <f t="shared" ref="B34:D34" si="28">B29*B32</f>
        <v>12000</v>
      </c>
      <c r="C34" s="108">
        <f t="shared" si="28"/>
        <v>120000</v>
      </c>
      <c r="D34" s="108">
        <f t="shared" si="28"/>
        <v>300000</v>
      </c>
      <c r="E34" s="160"/>
      <c r="F34" s="159"/>
      <c r="G34" s="162"/>
      <c r="H34" s="162"/>
      <c r="I34" s="162"/>
    </row>
    <row r="35" spans="1:9" ht="12.75" x14ac:dyDescent="0.2">
      <c r="A35" s="159" t="s">
        <v>269</v>
      </c>
      <c r="B35" s="176">
        <f t="shared" ref="B35:D35" si="29">B33/B34</f>
        <v>0.25833333333333336</v>
      </c>
      <c r="C35" s="176">
        <f t="shared" si="29"/>
        <v>0.34166666666666667</v>
      </c>
      <c r="D35" s="176">
        <f t="shared" si="29"/>
        <v>0.25</v>
      </c>
      <c r="E35" s="160"/>
      <c r="F35" s="156" t="s">
        <v>279</v>
      </c>
      <c r="G35" s="156"/>
      <c r="H35" s="156"/>
      <c r="I35" s="156"/>
    </row>
    <row r="36" spans="1:9" ht="12.75" x14ac:dyDescent="0.2">
      <c r="E36" s="160"/>
      <c r="F36" s="159" t="s">
        <v>252</v>
      </c>
      <c r="G36" s="177"/>
      <c r="H36" s="177"/>
      <c r="I36" s="177">
        <f>I18/'Specific Location Estimates'!E16</f>
        <v>5415.3841165315316</v>
      </c>
    </row>
    <row r="37" spans="1:9" ht="12.75" x14ac:dyDescent="0.2">
      <c r="A37" s="156" t="s">
        <v>280</v>
      </c>
      <c r="B37" s="157"/>
      <c r="C37" s="157"/>
      <c r="D37" s="157"/>
      <c r="E37" s="160"/>
      <c r="F37" s="159" t="s">
        <v>254</v>
      </c>
      <c r="G37" s="168"/>
      <c r="H37" s="168"/>
      <c r="I37" s="168">
        <f>I19/'Specific Location Estimates'!F16</f>
        <v>3670.8041971850525</v>
      </c>
    </row>
    <row r="38" spans="1:9" ht="12.75" x14ac:dyDescent="0.2">
      <c r="A38" s="159" t="s">
        <v>281</v>
      </c>
      <c r="B38" s="153">
        <v>5</v>
      </c>
      <c r="C38" s="176">
        <v>0.64500000000000002</v>
      </c>
      <c r="D38" s="178">
        <v>0.5</v>
      </c>
      <c r="E38" s="160"/>
      <c r="F38" s="159" t="s">
        <v>256</v>
      </c>
      <c r="G38" s="168"/>
      <c r="H38" s="168"/>
      <c r="I38" s="168">
        <f>I20/'Specific Location Estimates'!D16</f>
        <v>16441.542803982149</v>
      </c>
    </row>
    <row r="39" spans="1:9" ht="12.75" x14ac:dyDescent="0.2">
      <c r="A39" s="165" t="s">
        <v>282</v>
      </c>
      <c r="B39" s="108">
        <v>20000</v>
      </c>
      <c r="C39" s="108">
        <v>160000</v>
      </c>
      <c r="D39" s="108">
        <v>150000</v>
      </c>
      <c r="E39" s="160"/>
      <c r="F39" s="159"/>
      <c r="G39" s="162"/>
      <c r="H39" s="162"/>
      <c r="I39" s="162"/>
    </row>
    <row r="40" spans="1:9" ht="12.75" x14ac:dyDescent="0.2">
      <c r="B40" s="162"/>
      <c r="C40" s="162"/>
      <c r="D40" s="162"/>
      <c r="E40" s="160"/>
      <c r="F40" s="179" t="s">
        <v>283</v>
      </c>
      <c r="G40" s="180"/>
      <c r="H40" s="180"/>
      <c r="I40" s="180">
        <f>AVERAGE(I36:I37)</f>
        <v>4543.0941568582921</v>
      </c>
    </row>
    <row r="41" spans="1:9" ht="18" x14ac:dyDescent="0.25">
      <c r="A41" s="154" t="s">
        <v>284</v>
      </c>
      <c r="B41" s="154" t="s">
        <v>231</v>
      </c>
      <c r="C41" s="154" t="s">
        <v>232</v>
      </c>
      <c r="D41" s="154" t="s">
        <v>233</v>
      </c>
      <c r="E41" s="158"/>
      <c r="F41" s="159"/>
      <c r="G41" s="162"/>
      <c r="H41" s="162"/>
      <c r="I41" s="162"/>
    </row>
    <row r="42" spans="1:9" ht="12.75" x14ac:dyDescent="0.2">
      <c r="A42" s="156" t="s">
        <v>285</v>
      </c>
      <c r="B42" s="157">
        <f t="shared" ref="B42:D42" si="30">SUM(B43:B44)</f>
        <v>297.68</v>
      </c>
      <c r="C42" s="157">
        <f t="shared" si="30"/>
        <v>708.64</v>
      </c>
      <c r="D42" s="157">
        <f t="shared" si="30"/>
        <v>100</v>
      </c>
      <c r="E42" s="158"/>
      <c r="F42" s="162"/>
      <c r="G42" s="162"/>
      <c r="H42" s="162"/>
      <c r="I42" s="162"/>
    </row>
    <row r="43" spans="1:9" ht="12.75" x14ac:dyDescent="0.2">
      <c r="A43" s="159" t="s">
        <v>286</v>
      </c>
      <c r="B43" s="153">
        <f>120.52 *2</f>
        <v>241.04</v>
      </c>
      <c r="C43" s="153">
        <f>120.52 *4</f>
        <v>482.08</v>
      </c>
      <c r="D43" s="153">
        <v>100</v>
      </c>
      <c r="E43" s="160"/>
      <c r="F43" s="162"/>
      <c r="G43" s="162"/>
      <c r="H43" s="162"/>
      <c r="I43" s="162"/>
    </row>
    <row r="44" spans="1:9" ht="12.75" x14ac:dyDescent="0.2">
      <c r="A44" s="159" t="s">
        <v>287</v>
      </c>
      <c r="B44" s="153">
        <v>56.64</v>
      </c>
      <c r="C44" s="153">
        <f>B44 * 4</f>
        <v>226.56</v>
      </c>
      <c r="D44" s="153">
        <v>0</v>
      </c>
      <c r="E44" s="160"/>
      <c r="F44" s="162"/>
      <c r="G44" s="162"/>
      <c r="H44" s="162"/>
      <c r="I44" s="162"/>
    </row>
    <row r="45" spans="1:9" ht="12.75" x14ac:dyDescent="0.2">
      <c r="A45" s="159"/>
      <c r="B45" s="162"/>
      <c r="C45" s="162"/>
      <c r="D45" s="162"/>
      <c r="E45" s="160"/>
      <c r="F45" s="162"/>
      <c r="G45" s="162"/>
      <c r="H45" s="162"/>
      <c r="I45" s="162"/>
    </row>
    <row r="46" spans="1:9" ht="12.75" x14ac:dyDescent="0.2">
      <c r="A46" s="156" t="s">
        <v>288</v>
      </c>
      <c r="B46" s="156">
        <f t="shared" ref="B46:D46" si="31">SUM(B47:B48)</f>
        <v>10000</v>
      </c>
      <c r="C46" s="156">
        <f t="shared" si="31"/>
        <v>120000</v>
      </c>
      <c r="D46" s="156">
        <f t="shared" si="31"/>
        <v>0</v>
      </c>
      <c r="E46" s="160"/>
      <c r="F46" s="162"/>
      <c r="G46" s="162"/>
      <c r="H46" s="162"/>
      <c r="I46" s="162"/>
    </row>
    <row r="47" spans="1:9" ht="12.75" x14ac:dyDescent="0.2">
      <c r="A47" s="159" t="s">
        <v>289</v>
      </c>
      <c r="B47" s="153">
        <v>10000</v>
      </c>
      <c r="C47" s="153">
        <v>20000</v>
      </c>
      <c r="D47" s="153">
        <v>0</v>
      </c>
      <c r="E47" s="160"/>
      <c r="F47" s="162"/>
      <c r="G47" s="162"/>
      <c r="H47" s="162"/>
      <c r="I47" s="162"/>
    </row>
    <row r="48" spans="1:9" ht="12.75" x14ac:dyDescent="0.2">
      <c r="A48" s="159" t="s">
        <v>290</v>
      </c>
      <c r="B48" s="153">
        <v>0</v>
      </c>
      <c r="C48" s="153">
        <v>100000</v>
      </c>
      <c r="D48" s="153">
        <v>0</v>
      </c>
      <c r="E48" s="160"/>
      <c r="F48" s="162"/>
      <c r="G48" s="162"/>
      <c r="H48" s="162"/>
      <c r="I48" s="162"/>
    </row>
    <row r="49" spans="1:9" ht="12.75" x14ac:dyDescent="0.2">
      <c r="A49" s="165"/>
      <c r="B49" s="162"/>
      <c r="C49" s="162"/>
      <c r="D49" s="162"/>
      <c r="E49" s="160"/>
      <c r="F49" s="159"/>
      <c r="G49" s="162"/>
      <c r="H49" s="162"/>
      <c r="I49" s="162"/>
    </row>
    <row r="50" spans="1:9" ht="12.75" x14ac:dyDescent="0.2">
      <c r="A50" s="162"/>
      <c r="B50" s="162"/>
      <c r="C50" s="162"/>
      <c r="D50" s="162"/>
      <c r="E50" s="160"/>
      <c r="F50" s="162"/>
      <c r="G50" s="162"/>
      <c r="H50" s="162"/>
      <c r="I50" s="162"/>
    </row>
    <row r="51" spans="1:9" ht="12.75" x14ac:dyDescent="0.2">
      <c r="A51" s="160"/>
      <c r="B51" s="160"/>
      <c r="C51" s="160"/>
      <c r="D51" s="160"/>
      <c r="E51" s="160"/>
      <c r="F51" s="162"/>
      <c r="G51" s="162"/>
      <c r="H51" s="162"/>
      <c r="I51" s="162"/>
    </row>
    <row r="52" spans="1:9" ht="12.75" x14ac:dyDescent="0.2">
      <c r="A52" s="160"/>
      <c r="B52" s="160"/>
      <c r="C52" s="160"/>
      <c r="D52" s="160"/>
      <c r="E52" s="160"/>
      <c r="F52" s="162"/>
      <c r="G52" s="162"/>
      <c r="H52" s="162"/>
      <c r="I52" s="162"/>
    </row>
    <row r="53" spans="1:9" ht="12.75" x14ac:dyDescent="0.2">
      <c r="A53" s="159"/>
      <c r="B53" s="153"/>
      <c r="C53" s="153"/>
      <c r="D53" s="153"/>
      <c r="E53" s="160"/>
      <c r="F53" s="162"/>
      <c r="G53" s="162"/>
      <c r="H53" s="162"/>
      <c r="I53" s="162"/>
    </row>
    <row r="54" spans="1:9" ht="12.75" x14ac:dyDescent="0.2">
      <c r="A54" s="159"/>
      <c r="B54" s="153"/>
      <c r="C54" s="153"/>
      <c r="D54" s="153"/>
      <c r="E54" s="160"/>
      <c r="F54" s="162"/>
      <c r="G54" s="162"/>
      <c r="H54" s="162"/>
      <c r="I54" s="162"/>
    </row>
    <row r="55" spans="1:9" ht="12.75" x14ac:dyDescent="0.2">
      <c r="A55" s="159"/>
      <c r="B55" s="153"/>
      <c r="C55" s="153"/>
      <c r="D55" s="153"/>
      <c r="E55" s="160"/>
      <c r="F55" s="162"/>
      <c r="G55" s="162"/>
      <c r="H55" s="162"/>
      <c r="I55" s="162"/>
    </row>
    <row r="56" spans="1:9" ht="12.75" x14ac:dyDescent="0.2">
      <c r="A56" s="159"/>
      <c r="B56" s="153"/>
      <c r="C56" s="153"/>
      <c r="D56" s="153"/>
      <c r="E56" s="160"/>
      <c r="F56" s="162"/>
      <c r="G56" s="162"/>
      <c r="H56" s="162"/>
      <c r="I56" s="162"/>
    </row>
    <row r="57" spans="1:9" ht="12.75" x14ac:dyDescent="0.2">
      <c r="A57" s="159"/>
      <c r="B57" s="153"/>
      <c r="C57" s="153"/>
      <c r="D57" s="153"/>
      <c r="E57" s="160"/>
      <c r="F57" s="162"/>
      <c r="G57" s="162"/>
      <c r="H57" s="162"/>
      <c r="I57" s="162"/>
    </row>
    <row r="58" spans="1:9" ht="12.75" x14ac:dyDescent="0.2">
      <c r="A58" s="168"/>
      <c r="B58" s="162"/>
      <c r="C58" s="162"/>
      <c r="D58" s="162"/>
      <c r="E58" s="160"/>
      <c r="F58" s="162"/>
      <c r="G58" s="162"/>
      <c r="H58" s="162"/>
      <c r="I58" s="162"/>
    </row>
    <row r="59" spans="1:9" ht="12.75" x14ac:dyDescent="0.2">
      <c r="A59" s="168"/>
      <c r="B59" s="162"/>
      <c r="C59" s="162"/>
      <c r="D59" s="162"/>
      <c r="E59" s="160"/>
      <c r="F59" s="162"/>
      <c r="G59" s="162"/>
      <c r="H59" s="162"/>
      <c r="I59" s="162"/>
    </row>
    <row r="60" spans="1:9" ht="12.75" x14ac:dyDescent="0.2">
      <c r="A60" s="168"/>
      <c r="B60" s="162"/>
      <c r="C60" s="162"/>
      <c r="D60" s="162"/>
      <c r="E60" s="160"/>
      <c r="F60" s="162"/>
      <c r="G60" s="162"/>
      <c r="H60" s="162"/>
      <c r="I60" s="162"/>
    </row>
    <row r="61" spans="1:9" ht="12.75" x14ac:dyDescent="0.2">
      <c r="A61" s="168"/>
      <c r="B61" s="162"/>
      <c r="C61" s="162"/>
      <c r="D61" s="162"/>
      <c r="E61" s="160"/>
      <c r="F61" s="162"/>
      <c r="G61" s="162"/>
      <c r="H61" s="162"/>
      <c r="I61" s="162"/>
    </row>
    <row r="62" spans="1:9" ht="12.75" x14ac:dyDescent="0.2">
      <c r="A62" s="168"/>
      <c r="B62" s="162"/>
      <c r="C62" s="162"/>
      <c r="D62" s="162"/>
      <c r="E62" s="160"/>
      <c r="F62" s="162"/>
      <c r="G62" s="162"/>
      <c r="H62" s="162"/>
      <c r="I62" s="162"/>
    </row>
    <row r="63" spans="1:9" ht="12.75" x14ac:dyDescent="0.2">
      <c r="A63" s="168"/>
      <c r="B63" s="162"/>
      <c r="C63" s="162"/>
      <c r="D63" s="162"/>
      <c r="E63" s="160"/>
      <c r="F63" s="162"/>
      <c r="G63" s="162"/>
      <c r="H63" s="162"/>
      <c r="I63" s="162"/>
    </row>
    <row r="64" spans="1:9" ht="12.75" x14ac:dyDescent="0.2">
      <c r="A64" s="168"/>
      <c r="B64" s="162"/>
      <c r="C64" s="162"/>
      <c r="D64" s="162"/>
      <c r="E64" s="160"/>
      <c r="F64" s="168"/>
      <c r="G64" s="162"/>
      <c r="H64" s="162"/>
      <c r="I64" s="162"/>
    </row>
    <row r="65" spans="1:9" ht="12.75" x14ac:dyDescent="0.2">
      <c r="A65" s="168"/>
      <c r="B65" s="162"/>
      <c r="C65" s="162"/>
      <c r="D65" s="162"/>
      <c r="E65" s="160"/>
      <c r="F65" s="168"/>
      <c r="G65" s="162"/>
      <c r="H65" s="162"/>
      <c r="I65" s="162"/>
    </row>
    <row r="66" spans="1:9" ht="12.75" x14ac:dyDescent="0.2">
      <c r="A66" s="168"/>
      <c r="B66" s="162"/>
      <c r="C66" s="162"/>
      <c r="D66" s="162"/>
      <c r="E66" s="160"/>
      <c r="F66" s="168"/>
      <c r="G66" s="162"/>
      <c r="H66" s="162"/>
      <c r="I66" s="162"/>
    </row>
    <row r="67" spans="1:9" ht="12.75" x14ac:dyDescent="0.2">
      <c r="A67" s="168"/>
      <c r="B67" s="162"/>
      <c r="C67" s="162"/>
      <c r="D67" s="162"/>
      <c r="E67" s="160"/>
      <c r="F67" s="168"/>
      <c r="G67" s="162"/>
      <c r="H67" s="162"/>
      <c r="I67" s="162"/>
    </row>
    <row r="68" spans="1:9" ht="12.75" x14ac:dyDescent="0.2">
      <c r="A68" s="168"/>
      <c r="B68" s="162"/>
      <c r="C68" s="162"/>
      <c r="D68" s="162"/>
      <c r="E68" s="160"/>
      <c r="F68" s="168"/>
      <c r="G68" s="162"/>
      <c r="H68" s="162"/>
      <c r="I68" s="162"/>
    </row>
    <row r="69" spans="1:9" ht="12.75" x14ac:dyDescent="0.2">
      <c r="A69" s="168"/>
      <c r="B69" s="162"/>
      <c r="C69" s="162"/>
      <c r="D69" s="162"/>
      <c r="E69" s="160"/>
      <c r="F69" s="168"/>
      <c r="G69" s="162"/>
      <c r="H69" s="162"/>
      <c r="I69" s="162"/>
    </row>
    <row r="70" spans="1:9" ht="12.75" x14ac:dyDescent="0.2">
      <c r="A70" s="168"/>
      <c r="B70" s="162"/>
      <c r="C70" s="162"/>
      <c r="D70" s="162"/>
      <c r="E70" s="160"/>
      <c r="F70" s="168"/>
      <c r="G70" s="162"/>
      <c r="H70" s="162"/>
      <c r="I70" s="162"/>
    </row>
    <row r="71" spans="1:9" ht="12.75" x14ac:dyDescent="0.2">
      <c r="A71" s="168"/>
      <c r="B71" s="162"/>
      <c r="C71" s="162"/>
      <c r="D71" s="162"/>
      <c r="E71" s="160"/>
      <c r="F71" s="168"/>
      <c r="G71" s="162"/>
      <c r="H71" s="162"/>
      <c r="I71" s="162"/>
    </row>
    <row r="72" spans="1:9" ht="12.75" x14ac:dyDescent="0.2">
      <c r="A72" s="168"/>
      <c r="B72" s="162"/>
      <c r="C72" s="162"/>
      <c r="D72" s="162"/>
      <c r="E72" s="160"/>
      <c r="F72" s="168"/>
      <c r="G72" s="162"/>
      <c r="H72" s="162"/>
      <c r="I72" s="162"/>
    </row>
    <row r="73" spans="1:9" ht="12.75" x14ac:dyDescent="0.2">
      <c r="A73" s="168"/>
      <c r="B73" s="162"/>
      <c r="C73" s="162"/>
      <c r="D73" s="162"/>
      <c r="E73" s="160"/>
      <c r="F73" s="168"/>
      <c r="G73" s="162"/>
      <c r="H73" s="162"/>
      <c r="I73" s="162"/>
    </row>
    <row r="74" spans="1:9" ht="12.75" x14ac:dyDescent="0.2">
      <c r="A74" s="168"/>
      <c r="B74" s="162"/>
      <c r="C74" s="162"/>
      <c r="D74" s="162"/>
      <c r="E74" s="160"/>
      <c r="F74" s="168"/>
      <c r="G74" s="162"/>
      <c r="H74" s="162"/>
      <c r="I74" s="162"/>
    </row>
    <row r="75" spans="1:9" ht="12.75" x14ac:dyDescent="0.2">
      <c r="A75" s="168"/>
      <c r="B75" s="162"/>
      <c r="C75" s="162"/>
      <c r="D75" s="162"/>
      <c r="E75" s="160"/>
      <c r="F75" s="168"/>
      <c r="G75" s="162"/>
      <c r="H75" s="162"/>
      <c r="I75" s="162"/>
    </row>
    <row r="76" spans="1:9" ht="12.75" x14ac:dyDescent="0.2">
      <c r="A76" s="168"/>
      <c r="B76" s="162"/>
      <c r="C76" s="162"/>
      <c r="D76" s="162"/>
      <c r="E76" s="160"/>
      <c r="F76" s="168"/>
      <c r="G76" s="162"/>
      <c r="H76" s="162"/>
      <c r="I76" s="162"/>
    </row>
    <row r="77" spans="1:9" ht="12.75" x14ac:dyDescent="0.2">
      <c r="A77" s="168"/>
      <c r="B77" s="162"/>
      <c r="C77" s="162"/>
      <c r="D77" s="162"/>
      <c r="E77" s="160"/>
      <c r="F77" s="168"/>
      <c r="G77" s="162"/>
      <c r="H77" s="162"/>
      <c r="I77" s="162"/>
    </row>
    <row r="78" spans="1:9" ht="12.75" x14ac:dyDescent="0.2">
      <c r="A78" s="168"/>
      <c r="B78" s="162"/>
      <c r="C78" s="162"/>
      <c r="D78" s="162"/>
      <c r="E78" s="160"/>
      <c r="F78" s="168"/>
      <c r="G78" s="162"/>
      <c r="H78" s="162"/>
      <c r="I78" s="162"/>
    </row>
    <row r="79" spans="1:9" ht="12.75" x14ac:dyDescent="0.2">
      <c r="A79" s="168"/>
      <c r="B79" s="162"/>
      <c r="C79" s="162"/>
      <c r="D79" s="162"/>
      <c r="E79" s="160"/>
      <c r="F79" s="168"/>
      <c r="G79" s="162"/>
      <c r="H79" s="162"/>
      <c r="I79" s="162"/>
    </row>
    <row r="80" spans="1:9" ht="12.75" x14ac:dyDescent="0.2">
      <c r="A80" s="168"/>
      <c r="B80" s="162"/>
      <c r="C80" s="162"/>
      <c r="D80" s="162"/>
      <c r="E80" s="160"/>
      <c r="F80" s="168"/>
      <c r="G80" s="162"/>
      <c r="H80" s="162"/>
      <c r="I80" s="162"/>
    </row>
    <row r="81" spans="1:9" ht="12.75" x14ac:dyDescent="0.2">
      <c r="A81" s="168"/>
      <c r="B81" s="162"/>
      <c r="C81" s="162"/>
      <c r="D81" s="162"/>
      <c r="E81" s="160"/>
      <c r="F81" s="168"/>
      <c r="G81" s="162"/>
      <c r="H81" s="162"/>
      <c r="I81" s="162"/>
    </row>
    <row r="82" spans="1:9" ht="12.75" x14ac:dyDescent="0.2">
      <c r="A82" s="168"/>
      <c r="B82" s="162"/>
      <c r="C82" s="162"/>
      <c r="D82" s="162"/>
      <c r="E82" s="160"/>
      <c r="F82" s="168"/>
      <c r="G82" s="162"/>
      <c r="H82" s="162"/>
      <c r="I82" s="162"/>
    </row>
    <row r="83" spans="1:9" ht="12.75" x14ac:dyDescent="0.2">
      <c r="A83" s="168"/>
      <c r="B83" s="162"/>
      <c r="C83" s="162"/>
      <c r="D83" s="162"/>
      <c r="E83" s="160"/>
      <c r="F83" s="168"/>
      <c r="G83" s="162"/>
      <c r="H83" s="162"/>
      <c r="I83" s="162"/>
    </row>
    <row r="84" spans="1:9" ht="12.75" x14ac:dyDescent="0.2">
      <c r="A84" s="168"/>
      <c r="B84" s="162"/>
      <c r="C84" s="162"/>
      <c r="D84" s="162"/>
      <c r="E84" s="160"/>
      <c r="F84" s="168"/>
      <c r="G84" s="162"/>
      <c r="H84" s="162"/>
      <c r="I84" s="162"/>
    </row>
    <row r="85" spans="1:9" ht="12.75" x14ac:dyDescent="0.2">
      <c r="A85" s="168"/>
      <c r="B85" s="162"/>
      <c r="C85" s="162"/>
      <c r="D85" s="162"/>
      <c r="E85" s="160"/>
      <c r="F85" s="168"/>
      <c r="G85" s="162"/>
      <c r="H85" s="162"/>
      <c r="I85" s="162"/>
    </row>
    <row r="86" spans="1:9" ht="12.75" x14ac:dyDescent="0.2">
      <c r="A86" s="168"/>
      <c r="B86" s="162"/>
      <c r="C86" s="162"/>
      <c r="D86" s="162"/>
      <c r="E86" s="160"/>
      <c r="F86" s="168"/>
      <c r="G86" s="162"/>
      <c r="H86" s="162"/>
      <c r="I86" s="162"/>
    </row>
    <row r="87" spans="1:9" ht="12.75" x14ac:dyDescent="0.2">
      <c r="A87" s="168"/>
      <c r="B87" s="162"/>
      <c r="C87" s="162"/>
      <c r="D87" s="162"/>
      <c r="E87" s="160"/>
      <c r="F87" s="168"/>
      <c r="G87" s="162"/>
      <c r="H87" s="162"/>
      <c r="I87" s="162"/>
    </row>
    <row r="88" spans="1:9" ht="12.75" x14ac:dyDescent="0.2">
      <c r="A88" s="168"/>
      <c r="B88" s="162"/>
      <c r="C88" s="162"/>
      <c r="D88" s="162"/>
      <c r="E88" s="160"/>
      <c r="F88" s="168"/>
      <c r="G88" s="162"/>
      <c r="H88" s="162"/>
      <c r="I88" s="162"/>
    </row>
    <row r="89" spans="1:9" ht="12.75" x14ac:dyDescent="0.2">
      <c r="A89" s="168"/>
      <c r="B89" s="162"/>
      <c r="C89" s="162"/>
      <c r="D89" s="162"/>
      <c r="E89" s="160"/>
      <c r="F89" s="168"/>
      <c r="G89" s="162"/>
      <c r="H89" s="162"/>
      <c r="I89" s="162"/>
    </row>
    <row r="90" spans="1:9" ht="12.75" x14ac:dyDescent="0.2">
      <c r="A90" s="168"/>
      <c r="B90" s="162"/>
      <c r="C90" s="162"/>
      <c r="D90" s="162"/>
      <c r="E90" s="160"/>
      <c r="F90" s="168"/>
      <c r="G90" s="162"/>
      <c r="H90" s="162"/>
      <c r="I90" s="162"/>
    </row>
    <row r="91" spans="1:9" ht="12.75" x14ac:dyDescent="0.2">
      <c r="A91" s="168"/>
      <c r="B91" s="162"/>
      <c r="C91" s="162"/>
      <c r="D91" s="162"/>
      <c r="E91" s="160"/>
      <c r="F91" s="168"/>
      <c r="G91" s="162"/>
      <c r="H91" s="162"/>
      <c r="I91" s="162"/>
    </row>
    <row r="92" spans="1:9" ht="12.75" x14ac:dyDescent="0.2">
      <c r="A92" s="168"/>
      <c r="B92" s="162"/>
      <c r="C92" s="162"/>
      <c r="D92" s="162"/>
      <c r="E92" s="160"/>
      <c r="F92" s="168"/>
      <c r="G92" s="162"/>
      <c r="H92" s="162"/>
      <c r="I92" s="162"/>
    </row>
    <row r="93" spans="1:9" ht="12.75" x14ac:dyDescent="0.2">
      <c r="A93" s="168"/>
      <c r="B93" s="162"/>
      <c r="C93" s="162"/>
      <c r="D93" s="162"/>
      <c r="E93" s="160"/>
      <c r="F93" s="168"/>
      <c r="G93" s="162"/>
      <c r="H93" s="162"/>
      <c r="I93" s="162"/>
    </row>
    <row r="94" spans="1:9" ht="12.75" x14ac:dyDescent="0.2">
      <c r="A94" s="168"/>
      <c r="B94" s="162"/>
      <c r="C94" s="162"/>
      <c r="D94" s="162"/>
      <c r="E94" s="160"/>
      <c r="F94" s="168"/>
      <c r="G94" s="162"/>
      <c r="H94" s="162"/>
      <c r="I94" s="162"/>
    </row>
    <row r="95" spans="1:9" ht="12.75" x14ac:dyDescent="0.2">
      <c r="A95" s="168"/>
      <c r="B95" s="162"/>
      <c r="C95" s="162"/>
      <c r="D95" s="162"/>
      <c r="E95" s="160"/>
      <c r="F95" s="168"/>
      <c r="G95" s="162"/>
      <c r="H95" s="162"/>
      <c r="I95" s="162"/>
    </row>
    <row r="96" spans="1:9" ht="12.75" x14ac:dyDescent="0.2">
      <c r="A96" s="168"/>
      <c r="B96" s="162"/>
      <c r="C96" s="162"/>
      <c r="D96" s="162"/>
      <c r="E96" s="160"/>
      <c r="F96" s="168"/>
      <c r="G96" s="162"/>
      <c r="H96" s="162"/>
      <c r="I96" s="162"/>
    </row>
    <row r="97" spans="1:9" ht="12.75" x14ac:dyDescent="0.2">
      <c r="A97" s="168"/>
      <c r="B97" s="162"/>
      <c r="C97" s="162"/>
      <c r="D97" s="162"/>
      <c r="E97" s="160"/>
      <c r="F97" s="168"/>
      <c r="G97" s="162"/>
      <c r="H97" s="162"/>
      <c r="I97" s="162"/>
    </row>
    <row r="98" spans="1:9" ht="12.75" x14ac:dyDescent="0.2">
      <c r="A98" s="168"/>
      <c r="B98" s="162"/>
      <c r="C98" s="162"/>
      <c r="D98" s="162"/>
      <c r="E98" s="160"/>
      <c r="F98" s="168"/>
      <c r="G98" s="162"/>
      <c r="H98" s="162"/>
      <c r="I98" s="162"/>
    </row>
    <row r="99" spans="1:9" ht="12.75" x14ac:dyDescent="0.2">
      <c r="A99" s="168"/>
      <c r="B99" s="162"/>
      <c r="C99" s="162"/>
      <c r="D99" s="162"/>
      <c r="E99" s="160"/>
      <c r="F99" s="168"/>
      <c r="G99" s="162"/>
      <c r="H99" s="162"/>
      <c r="I99" s="162"/>
    </row>
    <row r="100" spans="1:9" ht="12.75" x14ac:dyDescent="0.2">
      <c r="A100" s="168"/>
      <c r="B100" s="162"/>
      <c r="C100" s="162"/>
      <c r="D100" s="162"/>
      <c r="E100" s="160"/>
      <c r="F100" s="168"/>
      <c r="G100" s="162"/>
      <c r="H100" s="162"/>
      <c r="I100" s="162"/>
    </row>
    <row r="101" spans="1:9" ht="12.75" x14ac:dyDescent="0.2">
      <c r="A101" s="168"/>
      <c r="B101" s="162"/>
      <c r="C101" s="162"/>
      <c r="D101" s="162"/>
      <c r="E101" s="160"/>
      <c r="F101" s="168"/>
      <c r="G101" s="162"/>
      <c r="H101" s="162"/>
      <c r="I101" s="162"/>
    </row>
    <row r="102" spans="1:9" ht="12.75" x14ac:dyDescent="0.2">
      <c r="A102" s="168"/>
      <c r="B102" s="162"/>
      <c r="C102" s="162"/>
      <c r="D102" s="162"/>
      <c r="E102" s="160"/>
      <c r="F102" s="168"/>
      <c r="G102" s="162"/>
      <c r="H102" s="162"/>
      <c r="I102" s="162"/>
    </row>
    <row r="103" spans="1:9" ht="12.75" x14ac:dyDescent="0.2">
      <c r="A103" s="168"/>
      <c r="B103" s="162"/>
      <c r="C103" s="162"/>
      <c r="D103" s="162"/>
      <c r="E103" s="160"/>
      <c r="F103" s="168"/>
      <c r="G103" s="162"/>
      <c r="H103" s="162"/>
      <c r="I103" s="162"/>
    </row>
    <row r="104" spans="1:9" ht="12.75" x14ac:dyDescent="0.2">
      <c r="A104" s="168"/>
      <c r="B104" s="162"/>
      <c r="C104" s="162"/>
      <c r="D104" s="162"/>
      <c r="E104" s="160"/>
      <c r="F104" s="168"/>
      <c r="G104" s="162"/>
      <c r="H104" s="162"/>
      <c r="I104" s="162"/>
    </row>
    <row r="105" spans="1:9" ht="12.75" x14ac:dyDescent="0.2">
      <c r="A105" s="168"/>
      <c r="B105" s="162"/>
      <c r="C105" s="162"/>
      <c r="D105" s="162"/>
      <c r="E105" s="160"/>
      <c r="F105" s="168"/>
      <c r="G105" s="162"/>
      <c r="H105" s="162"/>
      <c r="I105" s="162"/>
    </row>
    <row r="106" spans="1:9" ht="12.75" x14ac:dyDescent="0.2">
      <c r="A106" s="168"/>
      <c r="B106" s="162"/>
      <c r="C106" s="162"/>
      <c r="D106" s="162"/>
      <c r="E106" s="160"/>
      <c r="F106" s="168"/>
      <c r="G106" s="162"/>
      <c r="H106" s="162"/>
      <c r="I106" s="162"/>
    </row>
    <row r="107" spans="1:9" ht="12.75" x14ac:dyDescent="0.2">
      <c r="A107" s="168"/>
      <c r="B107" s="162"/>
      <c r="C107" s="162"/>
      <c r="D107" s="162"/>
      <c r="E107" s="160"/>
      <c r="F107" s="168"/>
      <c r="G107" s="162"/>
      <c r="H107" s="162"/>
      <c r="I107" s="162"/>
    </row>
    <row r="108" spans="1:9" ht="12.75" x14ac:dyDescent="0.2">
      <c r="A108" s="168"/>
      <c r="B108" s="162"/>
      <c r="C108" s="162"/>
      <c r="D108" s="162"/>
      <c r="E108" s="160"/>
      <c r="F108" s="168"/>
      <c r="G108" s="162"/>
      <c r="H108" s="162"/>
      <c r="I108" s="162"/>
    </row>
    <row r="109" spans="1:9" ht="12.75" x14ac:dyDescent="0.2">
      <c r="A109" s="168"/>
      <c r="B109" s="162"/>
      <c r="C109" s="162"/>
      <c r="D109" s="162"/>
      <c r="E109" s="160"/>
      <c r="F109" s="168"/>
      <c r="G109" s="162"/>
      <c r="H109" s="162"/>
      <c r="I109" s="162"/>
    </row>
    <row r="110" spans="1:9" ht="12.75" x14ac:dyDescent="0.2">
      <c r="A110" s="168"/>
      <c r="B110" s="162"/>
      <c r="C110" s="162"/>
      <c r="D110" s="162"/>
      <c r="E110" s="160"/>
      <c r="F110" s="168"/>
      <c r="G110" s="162"/>
      <c r="H110" s="162"/>
      <c r="I110" s="162"/>
    </row>
    <row r="111" spans="1:9" ht="12.75" x14ac:dyDescent="0.2">
      <c r="A111" s="168"/>
      <c r="B111" s="162"/>
      <c r="C111" s="162"/>
      <c r="D111" s="162"/>
      <c r="E111" s="160"/>
      <c r="F111" s="168"/>
      <c r="G111" s="162"/>
      <c r="H111" s="162"/>
      <c r="I111" s="162"/>
    </row>
    <row r="112" spans="1:9" ht="12.75" x14ac:dyDescent="0.2">
      <c r="A112" s="168"/>
      <c r="B112" s="162"/>
      <c r="C112" s="162"/>
      <c r="D112" s="162"/>
      <c r="E112" s="160"/>
      <c r="F112" s="168"/>
      <c r="G112" s="162"/>
      <c r="H112" s="162"/>
      <c r="I112" s="162"/>
    </row>
    <row r="113" spans="1:9" ht="12.75" x14ac:dyDescent="0.2">
      <c r="A113" s="168"/>
      <c r="B113" s="162"/>
      <c r="C113" s="162"/>
      <c r="D113" s="162"/>
      <c r="E113" s="160"/>
      <c r="F113" s="168"/>
      <c r="G113" s="162"/>
      <c r="H113" s="162"/>
      <c r="I113" s="162"/>
    </row>
    <row r="114" spans="1:9" ht="12.75" x14ac:dyDescent="0.2">
      <c r="A114" s="168"/>
      <c r="B114" s="162"/>
      <c r="C114" s="162"/>
      <c r="D114" s="162"/>
      <c r="E114" s="160"/>
      <c r="F114" s="168"/>
      <c r="G114" s="162"/>
      <c r="H114" s="162"/>
      <c r="I114" s="162"/>
    </row>
    <row r="115" spans="1:9" ht="12.75" x14ac:dyDescent="0.2">
      <c r="A115" s="168"/>
      <c r="B115" s="162"/>
      <c r="C115" s="162"/>
      <c r="D115" s="162"/>
      <c r="E115" s="160"/>
      <c r="F115" s="168"/>
      <c r="G115" s="162"/>
      <c r="H115" s="162"/>
      <c r="I115" s="162"/>
    </row>
    <row r="116" spans="1:9" ht="12.75" x14ac:dyDescent="0.2">
      <c r="A116" s="168"/>
      <c r="B116" s="162"/>
      <c r="C116" s="162"/>
      <c r="D116" s="162"/>
      <c r="E116" s="160"/>
      <c r="F116" s="168"/>
      <c r="G116" s="162"/>
      <c r="H116" s="162"/>
      <c r="I116" s="162"/>
    </row>
    <row r="117" spans="1:9" ht="12.75" x14ac:dyDescent="0.2">
      <c r="A117" s="168"/>
      <c r="B117" s="162"/>
      <c r="C117" s="162"/>
      <c r="D117" s="162"/>
      <c r="E117" s="160"/>
      <c r="F117" s="168"/>
      <c r="G117" s="162"/>
      <c r="H117" s="162"/>
      <c r="I117" s="162"/>
    </row>
    <row r="118" spans="1:9" ht="12.75" x14ac:dyDescent="0.2">
      <c r="A118" s="168"/>
      <c r="B118" s="162"/>
      <c r="C118" s="162"/>
      <c r="D118" s="162"/>
      <c r="E118" s="160"/>
      <c r="F118" s="168"/>
      <c r="G118" s="162"/>
      <c r="H118" s="162"/>
      <c r="I118" s="162"/>
    </row>
    <row r="119" spans="1:9" ht="12.75" x14ac:dyDescent="0.2">
      <c r="A119" s="168"/>
      <c r="B119" s="162"/>
      <c r="C119" s="162"/>
      <c r="D119" s="162"/>
      <c r="E119" s="160"/>
      <c r="F119" s="168"/>
      <c r="G119" s="162"/>
      <c r="H119" s="162"/>
      <c r="I119" s="162"/>
    </row>
    <row r="120" spans="1:9" ht="12.75" x14ac:dyDescent="0.2">
      <c r="A120" s="168"/>
      <c r="B120" s="162"/>
      <c r="C120" s="162"/>
      <c r="D120" s="162"/>
      <c r="E120" s="160"/>
      <c r="F120" s="168"/>
      <c r="G120" s="162"/>
      <c r="H120" s="162"/>
      <c r="I120" s="162"/>
    </row>
    <row r="121" spans="1:9" ht="12.75" x14ac:dyDescent="0.2">
      <c r="A121" s="168"/>
      <c r="B121" s="162"/>
      <c r="C121" s="162"/>
      <c r="D121" s="162"/>
      <c r="E121" s="160"/>
      <c r="F121" s="168"/>
      <c r="G121" s="162"/>
      <c r="H121" s="162"/>
      <c r="I121" s="162"/>
    </row>
    <row r="122" spans="1:9" ht="12.75" x14ac:dyDescent="0.2">
      <c r="A122" s="168"/>
      <c r="B122" s="162"/>
      <c r="C122" s="162"/>
      <c r="D122" s="162"/>
      <c r="E122" s="160"/>
      <c r="F122" s="168"/>
      <c r="G122" s="162"/>
      <c r="H122" s="162"/>
      <c r="I122" s="162"/>
    </row>
    <row r="123" spans="1:9" ht="12.75" x14ac:dyDescent="0.2">
      <c r="A123" s="168"/>
      <c r="B123" s="162"/>
      <c r="C123" s="162"/>
      <c r="D123" s="162"/>
      <c r="E123" s="160"/>
      <c r="F123" s="168"/>
      <c r="G123" s="162"/>
      <c r="H123" s="162"/>
      <c r="I123" s="162"/>
    </row>
    <row r="124" spans="1:9" ht="12.75" x14ac:dyDescent="0.2">
      <c r="A124" s="168"/>
      <c r="B124" s="162"/>
      <c r="C124" s="162"/>
      <c r="D124" s="162"/>
      <c r="E124" s="160"/>
      <c r="F124" s="168"/>
      <c r="G124" s="162"/>
      <c r="H124" s="162"/>
      <c r="I124" s="162"/>
    </row>
    <row r="125" spans="1:9" ht="12.75" x14ac:dyDescent="0.2">
      <c r="A125" s="168"/>
      <c r="B125" s="162"/>
      <c r="C125" s="162"/>
      <c r="D125" s="162"/>
      <c r="E125" s="160"/>
      <c r="F125" s="168"/>
      <c r="G125" s="162"/>
      <c r="H125" s="162"/>
      <c r="I125" s="162"/>
    </row>
    <row r="126" spans="1:9" ht="12.75" x14ac:dyDescent="0.2">
      <c r="A126" s="168"/>
      <c r="B126" s="162"/>
      <c r="C126" s="162"/>
      <c r="D126" s="162"/>
      <c r="E126" s="160"/>
      <c r="F126" s="168"/>
      <c r="G126" s="162"/>
      <c r="H126" s="162"/>
      <c r="I126" s="162"/>
    </row>
    <row r="127" spans="1:9" ht="12.75" x14ac:dyDescent="0.2">
      <c r="A127" s="168"/>
      <c r="B127" s="162"/>
      <c r="C127" s="162"/>
      <c r="D127" s="162"/>
      <c r="E127" s="160"/>
      <c r="F127" s="168"/>
      <c r="G127" s="162"/>
      <c r="H127" s="162"/>
      <c r="I127" s="162"/>
    </row>
    <row r="128" spans="1:9" ht="12.75" x14ac:dyDescent="0.2">
      <c r="A128" s="168"/>
      <c r="B128" s="162"/>
      <c r="C128" s="162"/>
      <c r="D128" s="162"/>
      <c r="E128" s="160"/>
      <c r="F128" s="168"/>
      <c r="G128" s="162"/>
      <c r="H128" s="162"/>
      <c r="I128" s="162"/>
    </row>
    <row r="129" spans="1:9" ht="12.75" x14ac:dyDescent="0.2">
      <c r="A129" s="168"/>
      <c r="B129" s="162"/>
      <c r="C129" s="162"/>
      <c r="D129" s="162"/>
      <c r="E129" s="160"/>
      <c r="F129" s="168"/>
      <c r="G129" s="162"/>
      <c r="H129" s="162"/>
      <c r="I129" s="162"/>
    </row>
    <row r="130" spans="1:9" ht="12.75" x14ac:dyDescent="0.2">
      <c r="A130" s="168"/>
      <c r="B130" s="162"/>
      <c r="C130" s="162"/>
      <c r="D130" s="162"/>
      <c r="E130" s="160"/>
      <c r="F130" s="168"/>
      <c r="G130" s="162"/>
      <c r="H130" s="162"/>
      <c r="I130" s="162"/>
    </row>
    <row r="131" spans="1:9" ht="12.75" x14ac:dyDescent="0.2">
      <c r="A131" s="168"/>
      <c r="B131" s="162"/>
      <c r="C131" s="162"/>
      <c r="D131" s="162"/>
      <c r="E131" s="160"/>
      <c r="F131" s="168"/>
      <c r="G131" s="162"/>
      <c r="H131" s="162"/>
      <c r="I131" s="162"/>
    </row>
    <row r="132" spans="1:9" ht="12.75" x14ac:dyDescent="0.2">
      <c r="A132" s="168"/>
      <c r="B132" s="162"/>
      <c r="C132" s="162"/>
      <c r="D132" s="162"/>
      <c r="E132" s="160"/>
      <c r="F132" s="168"/>
      <c r="G132" s="162"/>
      <c r="H132" s="162"/>
      <c r="I132" s="162"/>
    </row>
    <row r="133" spans="1:9" ht="12.75" x14ac:dyDescent="0.2">
      <c r="A133" s="168"/>
      <c r="B133" s="162"/>
      <c r="C133" s="162"/>
      <c r="D133" s="162"/>
      <c r="E133" s="160"/>
      <c r="F133" s="168"/>
      <c r="G133" s="162"/>
      <c r="H133" s="162"/>
      <c r="I133" s="162"/>
    </row>
    <row r="134" spans="1:9" ht="12.75" x14ac:dyDescent="0.2">
      <c r="A134" s="168"/>
      <c r="B134" s="162"/>
      <c r="C134" s="162"/>
      <c r="D134" s="162"/>
      <c r="E134" s="160"/>
      <c r="F134" s="168"/>
      <c r="G134" s="162"/>
      <c r="H134" s="162"/>
      <c r="I134" s="162"/>
    </row>
    <row r="135" spans="1:9" ht="12.75" x14ac:dyDescent="0.2">
      <c r="A135" s="168"/>
      <c r="B135" s="162"/>
      <c r="C135" s="162"/>
      <c r="D135" s="162"/>
      <c r="E135" s="160"/>
      <c r="F135" s="168"/>
      <c r="G135" s="162"/>
      <c r="H135" s="162"/>
      <c r="I135" s="162"/>
    </row>
    <row r="136" spans="1:9" ht="12.75" x14ac:dyDescent="0.2">
      <c r="A136" s="168"/>
      <c r="B136" s="162"/>
      <c r="C136" s="162"/>
      <c r="D136" s="162"/>
      <c r="E136" s="160"/>
      <c r="F136" s="168"/>
      <c r="G136" s="162"/>
      <c r="H136" s="162"/>
      <c r="I136" s="162"/>
    </row>
    <row r="137" spans="1:9" ht="12.75" x14ac:dyDescent="0.2">
      <c r="A137" s="168"/>
      <c r="B137" s="162"/>
      <c r="C137" s="162"/>
      <c r="D137" s="162"/>
      <c r="E137" s="160"/>
      <c r="F137" s="168"/>
      <c r="G137" s="162"/>
      <c r="H137" s="162"/>
      <c r="I137" s="162"/>
    </row>
    <row r="138" spans="1:9" ht="12.75" x14ac:dyDescent="0.2">
      <c r="A138" s="168"/>
      <c r="B138" s="162"/>
      <c r="C138" s="162"/>
      <c r="D138" s="162"/>
      <c r="E138" s="160"/>
      <c r="F138" s="168"/>
      <c r="G138" s="162"/>
      <c r="H138" s="162"/>
      <c r="I138" s="162"/>
    </row>
    <row r="139" spans="1:9" ht="12.75" x14ac:dyDescent="0.2">
      <c r="A139" s="168"/>
      <c r="B139" s="162"/>
      <c r="C139" s="162"/>
      <c r="D139" s="162"/>
      <c r="E139" s="160"/>
      <c r="F139" s="168"/>
      <c r="G139" s="162"/>
      <c r="H139" s="162"/>
      <c r="I139" s="162"/>
    </row>
    <row r="140" spans="1:9" ht="12.75" x14ac:dyDescent="0.2">
      <c r="A140" s="168"/>
      <c r="B140" s="162"/>
      <c r="C140" s="162"/>
      <c r="D140" s="162"/>
      <c r="E140" s="160"/>
      <c r="F140" s="168"/>
      <c r="G140" s="162"/>
      <c r="H140" s="162"/>
      <c r="I140" s="162"/>
    </row>
    <row r="141" spans="1:9" ht="12.75" x14ac:dyDescent="0.2">
      <c r="A141" s="168"/>
      <c r="B141" s="162"/>
      <c r="C141" s="162"/>
      <c r="D141" s="162"/>
      <c r="E141" s="160"/>
      <c r="F141" s="168"/>
      <c r="G141" s="162"/>
      <c r="H141" s="162"/>
      <c r="I141" s="162"/>
    </row>
    <row r="142" spans="1:9" ht="12.75" x14ac:dyDescent="0.2">
      <c r="A142" s="168"/>
      <c r="B142" s="162"/>
      <c r="C142" s="162"/>
      <c r="D142" s="162"/>
      <c r="E142" s="160"/>
      <c r="F142" s="168"/>
      <c r="G142" s="162"/>
      <c r="H142" s="162"/>
      <c r="I142" s="162"/>
    </row>
    <row r="143" spans="1:9" ht="12.75" x14ac:dyDescent="0.2">
      <c r="A143" s="168"/>
      <c r="B143" s="162"/>
      <c r="C143" s="162"/>
      <c r="D143" s="162"/>
      <c r="E143" s="160"/>
      <c r="F143" s="168"/>
      <c r="G143" s="162"/>
      <c r="H143" s="162"/>
      <c r="I143" s="162"/>
    </row>
    <row r="144" spans="1:9" ht="12.75" x14ac:dyDescent="0.2">
      <c r="A144" s="168"/>
      <c r="B144" s="162"/>
      <c r="C144" s="162"/>
      <c r="D144" s="162"/>
      <c r="E144" s="160"/>
      <c r="F144" s="168"/>
      <c r="G144" s="162"/>
      <c r="H144" s="162"/>
      <c r="I144" s="162"/>
    </row>
    <row r="145" spans="1:9" ht="12.75" x14ac:dyDescent="0.2">
      <c r="A145" s="168"/>
      <c r="B145" s="162"/>
      <c r="C145" s="162"/>
      <c r="D145" s="162"/>
      <c r="E145" s="160"/>
      <c r="F145" s="168"/>
      <c r="G145" s="162"/>
      <c r="H145" s="162"/>
      <c r="I145" s="162"/>
    </row>
    <row r="146" spans="1:9" ht="12.75" x14ac:dyDescent="0.2">
      <c r="A146" s="168"/>
      <c r="B146" s="162"/>
      <c r="C146" s="162"/>
      <c r="D146" s="162"/>
      <c r="E146" s="160"/>
      <c r="F146" s="168"/>
      <c r="G146" s="162"/>
      <c r="H146" s="162"/>
      <c r="I146" s="162"/>
    </row>
    <row r="147" spans="1:9" ht="12.75" x14ac:dyDescent="0.2">
      <c r="A147" s="168"/>
      <c r="B147" s="162"/>
      <c r="C147" s="162"/>
      <c r="D147" s="162"/>
      <c r="E147" s="160"/>
      <c r="F147" s="168"/>
      <c r="G147" s="162"/>
      <c r="H147" s="162"/>
      <c r="I147" s="162"/>
    </row>
    <row r="148" spans="1:9" ht="12.75" x14ac:dyDescent="0.2">
      <c r="A148" s="168"/>
      <c r="B148" s="162"/>
      <c r="C148" s="162"/>
      <c r="D148" s="162"/>
      <c r="E148" s="160"/>
      <c r="F148" s="168"/>
      <c r="G148" s="162"/>
      <c r="H148" s="162"/>
      <c r="I148" s="162"/>
    </row>
    <row r="149" spans="1:9" ht="12.75" x14ac:dyDescent="0.2">
      <c r="A149" s="168"/>
      <c r="B149" s="162"/>
      <c r="C149" s="162"/>
      <c r="D149" s="162"/>
      <c r="E149" s="160"/>
      <c r="F149" s="168"/>
      <c r="G149" s="162"/>
      <c r="H149" s="162"/>
      <c r="I149" s="162"/>
    </row>
    <row r="150" spans="1:9" ht="12.75" x14ac:dyDescent="0.2">
      <c r="A150" s="168"/>
      <c r="B150" s="162"/>
      <c r="C150" s="162"/>
      <c r="D150" s="162"/>
      <c r="E150" s="160"/>
      <c r="F150" s="168"/>
      <c r="G150" s="162"/>
      <c r="H150" s="162"/>
      <c r="I150" s="162"/>
    </row>
    <row r="151" spans="1:9" ht="12.75" x14ac:dyDescent="0.2">
      <c r="A151" s="168"/>
      <c r="B151" s="162"/>
      <c r="C151" s="162"/>
      <c r="D151" s="162"/>
      <c r="E151" s="160"/>
      <c r="F151" s="168"/>
      <c r="G151" s="162"/>
      <c r="H151" s="162"/>
      <c r="I151" s="162"/>
    </row>
    <row r="152" spans="1:9" ht="12.75" x14ac:dyDescent="0.2">
      <c r="A152" s="168"/>
      <c r="B152" s="162"/>
      <c r="C152" s="162"/>
      <c r="D152" s="162"/>
      <c r="E152" s="160"/>
      <c r="F152" s="168"/>
      <c r="G152" s="162"/>
      <c r="H152" s="162"/>
      <c r="I152" s="162"/>
    </row>
    <row r="153" spans="1:9" ht="12.75" x14ac:dyDescent="0.2">
      <c r="A153" s="168"/>
      <c r="B153" s="162"/>
      <c r="C153" s="162"/>
      <c r="D153" s="162"/>
      <c r="E153" s="160"/>
      <c r="F153" s="168"/>
      <c r="G153" s="162"/>
      <c r="H153" s="162"/>
      <c r="I153" s="162"/>
    </row>
    <row r="154" spans="1:9" ht="12.75" x14ac:dyDescent="0.2">
      <c r="A154" s="168"/>
      <c r="B154" s="162"/>
      <c r="C154" s="162"/>
      <c r="D154" s="162"/>
      <c r="E154" s="160"/>
      <c r="F154" s="168"/>
      <c r="G154" s="162"/>
      <c r="H154" s="162"/>
      <c r="I154" s="162"/>
    </row>
    <row r="155" spans="1:9" ht="12.75" x14ac:dyDescent="0.2">
      <c r="A155" s="168"/>
      <c r="B155" s="162"/>
      <c r="C155" s="162"/>
      <c r="D155" s="162"/>
      <c r="E155" s="160"/>
      <c r="F155" s="168"/>
      <c r="G155" s="162"/>
      <c r="H155" s="162"/>
      <c r="I155" s="162"/>
    </row>
    <row r="156" spans="1:9" ht="12.75" x14ac:dyDescent="0.2">
      <c r="A156" s="168"/>
      <c r="B156" s="162"/>
      <c r="C156" s="162"/>
      <c r="D156" s="162"/>
      <c r="E156" s="160"/>
      <c r="F156" s="168"/>
      <c r="G156" s="162"/>
      <c r="H156" s="162"/>
      <c r="I156" s="162"/>
    </row>
    <row r="157" spans="1:9" ht="12.75" x14ac:dyDescent="0.2">
      <c r="A157" s="168"/>
      <c r="B157" s="162"/>
      <c r="C157" s="162"/>
      <c r="D157" s="162"/>
      <c r="E157" s="160"/>
      <c r="F157" s="168"/>
      <c r="G157" s="162"/>
      <c r="H157" s="162"/>
      <c r="I157" s="162"/>
    </row>
    <row r="158" spans="1:9" ht="12.75" x14ac:dyDescent="0.2">
      <c r="A158" s="168"/>
      <c r="B158" s="162"/>
      <c r="C158" s="162"/>
      <c r="D158" s="162"/>
      <c r="E158" s="160"/>
      <c r="F158" s="168"/>
      <c r="G158" s="162"/>
      <c r="H158" s="162"/>
      <c r="I158" s="162"/>
    </row>
    <row r="159" spans="1:9" ht="12.75" x14ac:dyDescent="0.2">
      <c r="A159" s="168"/>
      <c r="B159" s="162"/>
      <c r="C159" s="162"/>
      <c r="D159" s="162"/>
      <c r="E159" s="160"/>
      <c r="F159" s="168"/>
      <c r="G159" s="162"/>
      <c r="H159" s="162"/>
      <c r="I159" s="162"/>
    </row>
    <row r="160" spans="1:9" ht="12.75" x14ac:dyDescent="0.2">
      <c r="A160" s="168"/>
      <c r="B160" s="162"/>
      <c r="C160" s="162"/>
      <c r="D160" s="162"/>
      <c r="E160" s="160"/>
      <c r="F160" s="168"/>
      <c r="G160" s="162"/>
      <c r="H160" s="162"/>
      <c r="I160" s="162"/>
    </row>
    <row r="161" spans="1:9" ht="12.75" x14ac:dyDescent="0.2">
      <c r="A161" s="168"/>
      <c r="B161" s="162"/>
      <c r="C161" s="162"/>
      <c r="D161" s="162"/>
      <c r="E161" s="160"/>
      <c r="F161" s="168"/>
      <c r="G161" s="162"/>
      <c r="H161" s="162"/>
      <c r="I161" s="162"/>
    </row>
    <row r="162" spans="1:9" ht="12.75" x14ac:dyDescent="0.2">
      <c r="A162" s="168"/>
      <c r="B162" s="162"/>
      <c r="C162" s="162"/>
      <c r="D162" s="162"/>
      <c r="E162" s="160"/>
      <c r="F162" s="168"/>
      <c r="G162" s="162"/>
      <c r="H162" s="162"/>
      <c r="I162" s="162"/>
    </row>
    <row r="163" spans="1:9" ht="12.75" x14ac:dyDescent="0.2">
      <c r="A163" s="168"/>
      <c r="B163" s="162"/>
      <c r="C163" s="162"/>
      <c r="D163" s="162"/>
      <c r="E163" s="160"/>
      <c r="F163" s="168"/>
      <c r="G163" s="162"/>
      <c r="H163" s="162"/>
      <c r="I163" s="162"/>
    </row>
    <row r="164" spans="1:9" ht="12.75" x14ac:dyDescent="0.2">
      <c r="A164" s="168"/>
      <c r="B164" s="162"/>
      <c r="C164" s="162"/>
      <c r="D164" s="162"/>
      <c r="E164" s="160"/>
      <c r="F164" s="168"/>
      <c r="G164" s="162"/>
      <c r="H164" s="162"/>
      <c r="I164" s="162"/>
    </row>
    <row r="165" spans="1:9" ht="12.75" x14ac:dyDescent="0.2">
      <c r="A165" s="168"/>
      <c r="B165" s="162"/>
      <c r="C165" s="162"/>
      <c r="D165" s="162"/>
      <c r="E165" s="160"/>
      <c r="F165" s="168"/>
      <c r="G165" s="162"/>
      <c r="H165" s="162"/>
      <c r="I165" s="162"/>
    </row>
    <row r="166" spans="1:9" ht="12.75" x14ac:dyDescent="0.2">
      <c r="A166" s="168"/>
      <c r="B166" s="162"/>
      <c r="C166" s="162"/>
      <c r="D166" s="162"/>
      <c r="E166" s="160"/>
      <c r="F166" s="168"/>
      <c r="G166" s="162"/>
      <c r="H166" s="162"/>
      <c r="I166" s="162"/>
    </row>
    <row r="167" spans="1:9" ht="12.75" x14ac:dyDescent="0.2">
      <c r="A167" s="168"/>
      <c r="B167" s="162"/>
      <c r="C167" s="162"/>
      <c r="D167" s="162"/>
      <c r="E167" s="160"/>
      <c r="F167" s="168"/>
      <c r="G167" s="162"/>
      <c r="H167" s="162"/>
      <c r="I167" s="162"/>
    </row>
    <row r="168" spans="1:9" ht="12.75" x14ac:dyDescent="0.2">
      <c r="A168" s="168"/>
      <c r="B168" s="162"/>
      <c r="C168" s="162"/>
      <c r="D168" s="162"/>
      <c r="E168" s="160"/>
      <c r="F168" s="168"/>
      <c r="G168" s="162"/>
      <c r="H168" s="162"/>
      <c r="I168" s="162"/>
    </row>
    <row r="169" spans="1:9" ht="12.75" x14ac:dyDescent="0.2">
      <c r="A169" s="168"/>
      <c r="B169" s="162"/>
      <c r="C169" s="162"/>
      <c r="D169" s="162"/>
      <c r="E169" s="160"/>
      <c r="F169" s="168"/>
      <c r="G169" s="162"/>
      <c r="H169" s="162"/>
      <c r="I169" s="162"/>
    </row>
    <row r="170" spans="1:9" ht="12.75" x14ac:dyDescent="0.2">
      <c r="A170" s="168"/>
      <c r="B170" s="162"/>
      <c r="C170" s="162"/>
      <c r="D170" s="162"/>
      <c r="E170" s="160"/>
      <c r="F170" s="168"/>
      <c r="G170" s="162"/>
      <c r="H170" s="162"/>
      <c r="I170" s="162"/>
    </row>
    <row r="171" spans="1:9" ht="12.75" x14ac:dyDescent="0.2">
      <c r="A171" s="168"/>
      <c r="B171" s="162"/>
      <c r="C171" s="162"/>
      <c r="D171" s="162"/>
      <c r="E171" s="160"/>
      <c r="F171" s="168"/>
      <c r="G171" s="162"/>
      <c r="H171" s="162"/>
      <c r="I171" s="162"/>
    </row>
    <row r="172" spans="1:9" ht="12.75" x14ac:dyDescent="0.2">
      <c r="A172" s="168"/>
      <c r="B172" s="162"/>
      <c r="C172" s="162"/>
      <c r="D172" s="162"/>
      <c r="E172" s="160"/>
      <c r="F172" s="168"/>
      <c r="G172" s="162"/>
      <c r="H172" s="162"/>
      <c r="I172" s="162"/>
    </row>
    <row r="173" spans="1:9" ht="12.75" x14ac:dyDescent="0.2">
      <c r="A173" s="168"/>
      <c r="B173" s="162"/>
      <c r="C173" s="162"/>
      <c r="D173" s="162"/>
      <c r="E173" s="160"/>
      <c r="F173" s="168"/>
      <c r="G173" s="162"/>
      <c r="H173" s="162"/>
      <c r="I173" s="162"/>
    </row>
    <row r="174" spans="1:9" ht="12.75" x14ac:dyDescent="0.2">
      <c r="A174" s="168"/>
      <c r="B174" s="162"/>
      <c r="C174" s="162"/>
      <c r="D174" s="162"/>
      <c r="E174" s="160"/>
      <c r="F174" s="168"/>
      <c r="G174" s="162"/>
      <c r="H174" s="162"/>
      <c r="I174" s="162"/>
    </row>
    <row r="175" spans="1:9" ht="12.75" x14ac:dyDescent="0.2">
      <c r="A175" s="168"/>
      <c r="B175" s="162"/>
      <c r="C175" s="162"/>
      <c r="D175" s="162"/>
      <c r="E175" s="160"/>
      <c r="F175" s="168"/>
      <c r="G175" s="162"/>
      <c r="H175" s="162"/>
      <c r="I175" s="162"/>
    </row>
    <row r="176" spans="1:9" ht="12.75" x14ac:dyDescent="0.2">
      <c r="A176" s="168"/>
      <c r="B176" s="162"/>
      <c r="C176" s="162"/>
      <c r="D176" s="162"/>
      <c r="E176" s="160"/>
      <c r="F176" s="168"/>
      <c r="G176" s="162"/>
      <c r="H176" s="162"/>
      <c r="I176" s="162"/>
    </row>
    <row r="177" spans="1:9" ht="12.75" x14ac:dyDescent="0.2">
      <c r="A177" s="168"/>
      <c r="B177" s="162"/>
      <c r="C177" s="162"/>
      <c r="D177" s="162"/>
      <c r="E177" s="160"/>
      <c r="F177" s="168"/>
      <c r="G177" s="162"/>
      <c r="H177" s="162"/>
      <c r="I177" s="162"/>
    </row>
    <row r="178" spans="1:9" ht="12.75" x14ac:dyDescent="0.2">
      <c r="A178" s="168"/>
      <c r="B178" s="162"/>
      <c r="C178" s="162"/>
      <c r="D178" s="162"/>
      <c r="E178" s="160"/>
      <c r="F178" s="168"/>
      <c r="G178" s="162"/>
      <c r="H178" s="162"/>
      <c r="I178" s="162"/>
    </row>
    <row r="179" spans="1:9" ht="12.75" x14ac:dyDescent="0.2">
      <c r="A179" s="168"/>
      <c r="B179" s="162"/>
      <c r="C179" s="162"/>
      <c r="D179" s="162"/>
      <c r="E179" s="160"/>
      <c r="F179" s="168"/>
      <c r="G179" s="162"/>
      <c r="H179" s="162"/>
      <c r="I179" s="162"/>
    </row>
    <row r="180" spans="1:9" ht="12.75" x14ac:dyDescent="0.2">
      <c r="A180" s="168"/>
      <c r="B180" s="162"/>
      <c r="C180" s="162"/>
      <c r="D180" s="162"/>
      <c r="E180" s="160"/>
      <c r="F180" s="168"/>
      <c r="G180" s="162"/>
      <c r="H180" s="162"/>
      <c r="I180" s="162"/>
    </row>
    <row r="181" spans="1:9" ht="12.75" x14ac:dyDescent="0.2">
      <c r="A181" s="168"/>
      <c r="B181" s="162"/>
      <c r="C181" s="162"/>
      <c r="D181" s="162"/>
      <c r="E181" s="160"/>
      <c r="F181" s="168"/>
      <c r="G181" s="162"/>
      <c r="H181" s="162"/>
      <c r="I181" s="162"/>
    </row>
    <row r="182" spans="1:9" ht="12.75" x14ac:dyDescent="0.2">
      <c r="A182" s="168"/>
      <c r="B182" s="162"/>
      <c r="C182" s="162"/>
      <c r="D182" s="162"/>
      <c r="E182" s="160"/>
      <c r="F182" s="168"/>
      <c r="G182" s="162"/>
      <c r="H182" s="162"/>
      <c r="I182" s="162"/>
    </row>
    <row r="183" spans="1:9" ht="12.75" x14ac:dyDescent="0.2">
      <c r="A183" s="168"/>
      <c r="B183" s="162"/>
      <c r="C183" s="162"/>
      <c r="D183" s="162"/>
      <c r="E183" s="160"/>
      <c r="F183" s="168"/>
      <c r="G183" s="162"/>
      <c r="H183" s="162"/>
      <c r="I183" s="162"/>
    </row>
    <row r="184" spans="1:9" ht="12.75" x14ac:dyDescent="0.2">
      <c r="A184" s="168"/>
      <c r="B184" s="162"/>
      <c r="C184" s="162"/>
      <c r="D184" s="162"/>
      <c r="E184" s="160"/>
      <c r="F184" s="168"/>
      <c r="G184" s="162"/>
      <c r="H184" s="162"/>
      <c r="I184" s="162"/>
    </row>
    <row r="185" spans="1:9" ht="12.75" x14ac:dyDescent="0.2">
      <c r="A185" s="168"/>
      <c r="B185" s="162"/>
      <c r="C185" s="162"/>
      <c r="D185" s="162"/>
      <c r="E185" s="160"/>
      <c r="F185" s="168"/>
      <c r="G185" s="162"/>
      <c r="H185" s="162"/>
      <c r="I185" s="162"/>
    </row>
    <row r="186" spans="1:9" ht="12.75" x14ac:dyDescent="0.2">
      <c r="A186" s="168"/>
      <c r="B186" s="162"/>
      <c r="C186" s="162"/>
      <c r="D186" s="162"/>
      <c r="E186" s="160"/>
      <c r="F186" s="168"/>
      <c r="G186" s="162"/>
      <c r="H186" s="162"/>
      <c r="I186" s="162"/>
    </row>
    <row r="187" spans="1:9" ht="12.75" x14ac:dyDescent="0.2">
      <c r="A187" s="168"/>
      <c r="B187" s="162"/>
      <c r="C187" s="162"/>
      <c r="D187" s="162"/>
      <c r="E187" s="160"/>
      <c r="F187" s="168"/>
      <c r="G187" s="162"/>
      <c r="H187" s="162"/>
      <c r="I187" s="162"/>
    </row>
    <row r="188" spans="1:9" ht="12.75" x14ac:dyDescent="0.2">
      <c r="A188" s="168"/>
      <c r="B188" s="162"/>
      <c r="C188" s="162"/>
      <c r="D188" s="162"/>
      <c r="E188" s="160"/>
      <c r="F188" s="168"/>
      <c r="G188" s="162"/>
      <c r="H188" s="162"/>
      <c r="I188" s="162"/>
    </row>
    <row r="189" spans="1:9" ht="12.75" x14ac:dyDescent="0.2">
      <c r="A189" s="168"/>
      <c r="B189" s="162"/>
      <c r="C189" s="162"/>
      <c r="D189" s="162"/>
      <c r="E189" s="160"/>
      <c r="F189" s="168"/>
      <c r="G189" s="162"/>
      <c r="H189" s="162"/>
      <c r="I189" s="162"/>
    </row>
    <row r="190" spans="1:9" ht="12.75" x14ac:dyDescent="0.2">
      <c r="A190" s="168"/>
      <c r="B190" s="162"/>
      <c r="C190" s="162"/>
      <c r="D190" s="162"/>
      <c r="E190" s="160"/>
      <c r="F190" s="168"/>
      <c r="G190" s="162"/>
      <c r="H190" s="162"/>
      <c r="I190" s="162"/>
    </row>
    <row r="191" spans="1:9" ht="12.75" x14ac:dyDescent="0.2">
      <c r="A191" s="168"/>
      <c r="B191" s="162"/>
      <c r="C191" s="162"/>
      <c r="D191" s="162"/>
      <c r="E191" s="160"/>
      <c r="F191" s="168"/>
      <c r="G191" s="162"/>
      <c r="H191" s="162"/>
      <c r="I191" s="162"/>
    </row>
    <row r="192" spans="1:9" ht="12.75" x14ac:dyDescent="0.2">
      <c r="A192" s="168"/>
      <c r="B192" s="162"/>
      <c r="C192" s="162"/>
      <c r="D192" s="162"/>
      <c r="E192" s="160"/>
      <c r="F192" s="168"/>
      <c r="G192" s="162"/>
      <c r="H192" s="162"/>
      <c r="I192" s="162"/>
    </row>
    <row r="193" spans="1:9" ht="12.75" x14ac:dyDescent="0.2">
      <c r="A193" s="168"/>
      <c r="B193" s="162"/>
      <c r="C193" s="162"/>
      <c r="D193" s="162"/>
      <c r="E193" s="160"/>
      <c r="F193" s="168"/>
      <c r="G193" s="162"/>
      <c r="H193" s="162"/>
      <c r="I193" s="162"/>
    </row>
    <row r="194" spans="1:9" ht="12.75" x14ac:dyDescent="0.2">
      <c r="A194" s="168"/>
      <c r="B194" s="162"/>
      <c r="C194" s="162"/>
      <c r="D194" s="162"/>
      <c r="E194" s="160"/>
      <c r="F194" s="168"/>
      <c r="G194" s="162"/>
      <c r="H194" s="162"/>
      <c r="I194" s="162"/>
    </row>
    <row r="195" spans="1:9" ht="12.75" x14ac:dyDescent="0.2">
      <c r="A195" s="168"/>
      <c r="B195" s="162"/>
      <c r="C195" s="162"/>
      <c r="D195" s="162"/>
      <c r="E195" s="160"/>
      <c r="F195" s="168"/>
      <c r="G195" s="162"/>
      <c r="H195" s="162"/>
      <c r="I195" s="162"/>
    </row>
    <row r="196" spans="1:9" ht="12.75" x14ac:dyDescent="0.2">
      <c r="A196" s="168"/>
      <c r="B196" s="162"/>
      <c r="C196" s="162"/>
      <c r="D196" s="162"/>
      <c r="E196" s="160"/>
      <c r="F196" s="168"/>
      <c r="G196" s="162"/>
      <c r="H196" s="162"/>
      <c r="I196" s="162"/>
    </row>
    <row r="197" spans="1:9" ht="12.75" x14ac:dyDescent="0.2">
      <c r="A197" s="168"/>
      <c r="B197" s="162"/>
      <c r="C197" s="162"/>
      <c r="D197" s="162"/>
      <c r="E197" s="160"/>
      <c r="F197" s="168"/>
      <c r="G197" s="162"/>
      <c r="H197" s="162"/>
      <c r="I197" s="162"/>
    </row>
    <row r="198" spans="1:9" ht="12.75" x14ac:dyDescent="0.2">
      <c r="A198" s="168"/>
      <c r="B198" s="162"/>
      <c r="C198" s="162"/>
      <c r="D198" s="162"/>
      <c r="E198" s="160"/>
      <c r="F198" s="168"/>
      <c r="G198" s="162"/>
      <c r="H198" s="162"/>
      <c r="I198" s="162"/>
    </row>
    <row r="199" spans="1:9" ht="12.75" x14ac:dyDescent="0.2">
      <c r="A199" s="168"/>
      <c r="B199" s="162"/>
      <c r="C199" s="162"/>
      <c r="D199" s="162"/>
      <c r="E199" s="160"/>
      <c r="F199" s="168"/>
      <c r="G199" s="162"/>
      <c r="H199" s="162"/>
      <c r="I199" s="162"/>
    </row>
    <row r="200" spans="1:9" ht="12.75" x14ac:dyDescent="0.2">
      <c r="A200" s="168"/>
      <c r="B200" s="162"/>
      <c r="C200" s="162"/>
      <c r="D200" s="162"/>
      <c r="E200" s="160"/>
      <c r="F200" s="168"/>
      <c r="G200" s="162"/>
      <c r="H200" s="162"/>
      <c r="I200" s="162"/>
    </row>
    <row r="201" spans="1:9" ht="12.75" x14ac:dyDescent="0.2">
      <c r="A201" s="168"/>
      <c r="B201" s="162"/>
      <c r="C201" s="162"/>
      <c r="D201" s="162"/>
      <c r="E201" s="160"/>
      <c r="F201" s="168"/>
      <c r="G201" s="162"/>
      <c r="H201" s="162"/>
      <c r="I201" s="162"/>
    </row>
    <row r="202" spans="1:9" ht="12.75" x14ac:dyDescent="0.2">
      <c r="A202" s="168"/>
      <c r="B202" s="162"/>
      <c r="C202" s="162"/>
      <c r="D202" s="162"/>
      <c r="E202" s="160"/>
      <c r="F202" s="168"/>
      <c r="G202" s="162"/>
      <c r="H202" s="162"/>
      <c r="I202" s="162"/>
    </row>
    <row r="203" spans="1:9" ht="12.75" x14ac:dyDescent="0.2">
      <c r="A203" s="168"/>
      <c r="B203" s="162"/>
      <c r="C203" s="162"/>
      <c r="D203" s="162"/>
      <c r="E203" s="160"/>
      <c r="F203" s="168"/>
      <c r="G203" s="162"/>
      <c r="H203" s="162"/>
      <c r="I203" s="162"/>
    </row>
    <row r="204" spans="1:9" ht="12.75" x14ac:dyDescent="0.2">
      <c r="A204" s="168"/>
      <c r="B204" s="162"/>
      <c r="C204" s="162"/>
      <c r="D204" s="162"/>
      <c r="E204" s="160"/>
      <c r="F204" s="168"/>
      <c r="G204" s="162"/>
      <c r="H204" s="162"/>
      <c r="I204" s="162"/>
    </row>
    <row r="205" spans="1:9" ht="12.75" x14ac:dyDescent="0.2">
      <c r="A205" s="168"/>
      <c r="B205" s="162"/>
      <c r="C205" s="162"/>
      <c r="D205" s="162"/>
      <c r="E205" s="160"/>
      <c r="F205" s="168"/>
      <c r="G205" s="162"/>
      <c r="H205" s="162"/>
      <c r="I205" s="162"/>
    </row>
    <row r="206" spans="1:9" ht="12.75" x14ac:dyDescent="0.2">
      <c r="A206" s="168"/>
      <c r="B206" s="162"/>
      <c r="C206" s="162"/>
      <c r="D206" s="162"/>
      <c r="E206" s="160"/>
      <c r="F206" s="168"/>
      <c r="G206" s="162"/>
      <c r="H206" s="162"/>
      <c r="I206" s="162"/>
    </row>
    <row r="207" spans="1:9" ht="12.75" x14ac:dyDescent="0.2">
      <c r="A207" s="168"/>
      <c r="B207" s="162"/>
      <c r="C207" s="162"/>
      <c r="D207" s="162"/>
      <c r="E207" s="160"/>
      <c r="F207" s="168"/>
      <c r="G207" s="162"/>
      <c r="H207" s="162"/>
      <c r="I207" s="162"/>
    </row>
    <row r="208" spans="1:9" ht="12.75" x14ac:dyDescent="0.2">
      <c r="A208" s="168"/>
      <c r="B208" s="162"/>
      <c r="C208" s="162"/>
      <c r="D208" s="162"/>
      <c r="E208" s="160"/>
      <c r="F208" s="168"/>
      <c r="G208" s="162"/>
      <c r="H208" s="162"/>
      <c r="I208" s="162"/>
    </row>
    <row r="209" spans="1:9" ht="12.75" x14ac:dyDescent="0.2">
      <c r="A209" s="168"/>
      <c r="B209" s="162"/>
      <c r="C209" s="162"/>
      <c r="D209" s="162"/>
      <c r="E209" s="160"/>
      <c r="F209" s="168"/>
      <c r="G209" s="162"/>
      <c r="H209" s="162"/>
      <c r="I209" s="162"/>
    </row>
    <row r="210" spans="1:9" ht="12.75" x14ac:dyDescent="0.2">
      <c r="A210" s="168"/>
      <c r="B210" s="162"/>
      <c r="C210" s="162"/>
      <c r="D210" s="162"/>
      <c r="E210" s="160"/>
      <c r="F210" s="168"/>
      <c r="G210" s="162"/>
      <c r="H210" s="162"/>
      <c r="I210" s="162"/>
    </row>
    <row r="211" spans="1:9" ht="12.75" x14ac:dyDescent="0.2">
      <c r="A211" s="168"/>
      <c r="B211" s="162"/>
      <c r="C211" s="162"/>
      <c r="D211" s="162"/>
      <c r="E211" s="160"/>
      <c r="F211" s="168"/>
      <c r="G211" s="162"/>
      <c r="H211" s="162"/>
      <c r="I211" s="162"/>
    </row>
    <row r="212" spans="1:9" ht="12.75" x14ac:dyDescent="0.2">
      <c r="A212" s="168"/>
      <c r="B212" s="162"/>
      <c r="C212" s="162"/>
      <c r="D212" s="162"/>
      <c r="E212" s="160"/>
      <c r="F212" s="168"/>
      <c r="G212" s="162"/>
      <c r="H212" s="162"/>
      <c r="I212" s="162"/>
    </row>
    <row r="213" spans="1:9" ht="12.75" x14ac:dyDescent="0.2">
      <c r="A213" s="168"/>
      <c r="B213" s="162"/>
      <c r="C213" s="162"/>
      <c r="D213" s="162"/>
      <c r="E213" s="160"/>
      <c r="F213" s="168"/>
      <c r="G213" s="162"/>
      <c r="H213" s="162"/>
      <c r="I213" s="162"/>
    </row>
    <row r="214" spans="1:9" ht="12.75" x14ac:dyDescent="0.2">
      <c r="A214" s="168"/>
      <c r="B214" s="162"/>
      <c r="C214" s="162"/>
      <c r="D214" s="162"/>
      <c r="E214" s="160"/>
      <c r="F214" s="168"/>
      <c r="G214" s="162"/>
      <c r="H214" s="162"/>
      <c r="I214" s="162"/>
    </row>
    <row r="215" spans="1:9" ht="12.75" x14ac:dyDescent="0.2">
      <c r="A215" s="168"/>
      <c r="B215" s="162"/>
      <c r="C215" s="162"/>
      <c r="D215" s="162"/>
      <c r="E215" s="160"/>
      <c r="F215" s="168"/>
      <c r="G215" s="162"/>
      <c r="H215" s="162"/>
      <c r="I215" s="162"/>
    </row>
    <row r="216" spans="1:9" ht="12.75" x14ac:dyDescent="0.2">
      <c r="A216" s="168"/>
      <c r="B216" s="162"/>
      <c r="C216" s="162"/>
      <c r="D216" s="162"/>
      <c r="E216" s="160"/>
      <c r="F216" s="168"/>
      <c r="G216" s="162"/>
      <c r="H216" s="162"/>
      <c r="I216" s="162"/>
    </row>
    <row r="217" spans="1:9" ht="12.75" x14ac:dyDescent="0.2">
      <c r="A217" s="168"/>
      <c r="B217" s="162"/>
      <c r="C217" s="162"/>
      <c r="D217" s="162"/>
      <c r="E217" s="160"/>
      <c r="F217" s="168"/>
      <c r="G217" s="162"/>
      <c r="H217" s="162"/>
      <c r="I217" s="162"/>
    </row>
    <row r="218" spans="1:9" ht="12.75" x14ac:dyDescent="0.2">
      <c r="A218" s="168"/>
      <c r="B218" s="162"/>
      <c r="C218" s="162"/>
      <c r="D218" s="162"/>
      <c r="E218" s="160"/>
      <c r="F218" s="168"/>
      <c r="G218" s="162"/>
      <c r="H218" s="162"/>
      <c r="I218" s="162"/>
    </row>
    <row r="219" spans="1:9" ht="12.75" x14ac:dyDescent="0.2">
      <c r="A219" s="168"/>
      <c r="B219" s="162"/>
      <c r="C219" s="162"/>
      <c r="D219" s="162"/>
      <c r="E219" s="160"/>
      <c r="F219" s="168"/>
      <c r="G219" s="162"/>
      <c r="H219" s="162"/>
      <c r="I219" s="162"/>
    </row>
    <row r="220" spans="1:9" ht="12.75" x14ac:dyDescent="0.2">
      <c r="A220" s="168"/>
      <c r="B220" s="162"/>
      <c r="C220" s="162"/>
      <c r="D220" s="162"/>
      <c r="E220" s="160"/>
      <c r="F220" s="168"/>
      <c r="G220" s="162"/>
      <c r="H220" s="162"/>
      <c r="I220" s="162"/>
    </row>
    <row r="221" spans="1:9" ht="12.75" x14ac:dyDescent="0.2">
      <c r="A221" s="168"/>
      <c r="B221" s="162"/>
      <c r="C221" s="162"/>
      <c r="D221" s="162"/>
      <c r="E221" s="160"/>
      <c r="F221" s="168"/>
      <c r="G221" s="162"/>
      <c r="H221" s="162"/>
      <c r="I221" s="162"/>
    </row>
    <row r="222" spans="1:9" ht="12.75" x14ac:dyDescent="0.2">
      <c r="A222" s="168"/>
      <c r="B222" s="162"/>
      <c r="C222" s="162"/>
      <c r="D222" s="162"/>
      <c r="E222" s="160"/>
      <c r="F222" s="168"/>
      <c r="G222" s="162"/>
      <c r="H222" s="162"/>
      <c r="I222" s="162"/>
    </row>
    <row r="223" spans="1:9" ht="12.75" x14ac:dyDescent="0.2">
      <c r="A223" s="168"/>
      <c r="B223" s="162"/>
      <c r="C223" s="162"/>
      <c r="D223" s="162"/>
      <c r="E223" s="160"/>
      <c r="F223" s="168"/>
      <c r="G223" s="162"/>
      <c r="H223" s="162"/>
      <c r="I223" s="162"/>
    </row>
    <row r="224" spans="1:9" ht="12.75" x14ac:dyDescent="0.2">
      <c r="A224" s="168"/>
      <c r="B224" s="162"/>
      <c r="C224" s="162"/>
      <c r="D224" s="162"/>
      <c r="E224" s="160"/>
      <c r="F224" s="168"/>
      <c r="G224" s="162"/>
      <c r="H224" s="162"/>
      <c r="I224" s="162"/>
    </row>
    <row r="225" spans="1:9" ht="12.75" x14ac:dyDescent="0.2">
      <c r="A225" s="168"/>
      <c r="B225" s="162"/>
      <c r="C225" s="162"/>
      <c r="D225" s="162"/>
      <c r="E225" s="160"/>
      <c r="F225" s="168"/>
      <c r="G225" s="162"/>
      <c r="H225" s="162"/>
      <c r="I225" s="162"/>
    </row>
    <row r="226" spans="1:9" ht="12.75" x14ac:dyDescent="0.2">
      <c r="A226" s="168"/>
      <c r="B226" s="162"/>
      <c r="C226" s="162"/>
      <c r="D226" s="162"/>
      <c r="E226" s="160"/>
      <c r="F226" s="168"/>
      <c r="G226" s="162"/>
      <c r="H226" s="162"/>
      <c r="I226" s="162"/>
    </row>
    <row r="227" spans="1:9" ht="12.75" x14ac:dyDescent="0.2">
      <c r="A227" s="168"/>
      <c r="B227" s="162"/>
      <c r="C227" s="162"/>
      <c r="D227" s="162"/>
      <c r="E227" s="160"/>
      <c r="F227" s="168"/>
      <c r="G227" s="162"/>
      <c r="H227" s="162"/>
      <c r="I227" s="162"/>
    </row>
    <row r="228" spans="1:9" ht="12.75" x14ac:dyDescent="0.2">
      <c r="A228" s="168"/>
      <c r="B228" s="162"/>
      <c r="C228" s="162"/>
      <c r="D228" s="162"/>
      <c r="E228" s="160"/>
      <c r="F228" s="168"/>
      <c r="G228" s="162"/>
      <c r="H228" s="162"/>
      <c r="I228" s="162"/>
    </row>
    <row r="229" spans="1:9" ht="12.75" x14ac:dyDescent="0.2">
      <c r="A229" s="168"/>
      <c r="B229" s="162"/>
      <c r="C229" s="162"/>
      <c r="D229" s="162"/>
      <c r="E229" s="160"/>
      <c r="F229" s="168"/>
      <c r="G229" s="162"/>
      <c r="H229" s="162"/>
      <c r="I229" s="162"/>
    </row>
    <row r="230" spans="1:9" ht="12.75" x14ac:dyDescent="0.2">
      <c r="A230" s="168"/>
      <c r="B230" s="162"/>
      <c r="C230" s="162"/>
      <c r="D230" s="162"/>
      <c r="E230" s="160"/>
      <c r="F230" s="168"/>
      <c r="G230" s="162"/>
      <c r="H230" s="162"/>
      <c r="I230" s="162"/>
    </row>
    <row r="231" spans="1:9" ht="12.75" x14ac:dyDescent="0.2">
      <c r="A231" s="168"/>
      <c r="B231" s="162"/>
      <c r="C231" s="162"/>
      <c r="D231" s="162"/>
      <c r="E231" s="160"/>
      <c r="F231" s="168"/>
      <c r="G231" s="162"/>
      <c r="H231" s="162"/>
      <c r="I231" s="162"/>
    </row>
    <row r="232" spans="1:9" ht="12.75" x14ac:dyDescent="0.2">
      <c r="A232" s="168"/>
      <c r="B232" s="162"/>
      <c r="C232" s="162"/>
      <c r="D232" s="162"/>
      <c r="E232" s="160"/>
      <c r="F232" s="168"/>
      <c r="G232" s="162"/>
      <c r="H232" s="162"/>
      <c r="I232" s="162"/>
    </row>
    <row r="233" spans="1:9" ht="12.75" x14ac:dyDescent="0.2">
      <c r="A233" s="168"/>
      <c r="B233" s="162"/>
      <c r="C233" s="162"/>
      <c r="D233" s="162"/>
      <c r="E233" s="160"/>
      <c r="F233" s="168"/>
      <c r="G233" s="162"/>
      <c r="H233" s="162"/>
      <c r="I233" s="162"/>
    </row>
    <row r="234" spans="1:9" ht="12.75" x14ac:dyDescent="0.2">
      <c r="A234" s="168"/>
      <c r="B234" s="162"/>
      <c r="C234" s="162"/>
      <c r="D234" s="162"/>
      <c r="E234" s="160"/>
      <c r="F234" s="168"/>
      <c r="G234" s="162"/>
      <c r="H234" s="162"/>
      <c r="I234" s="162"/>
    </row>
    <row r="235" spans="1:9" ht="12.75" x14ac:dyDescent="0.2">
      <c r="A235" s="168"/>
      <c r="B235" s="162"/>
      <c r="C235" s="162"/>
      <c r="D235" s="162"/>
      <c r="E235" s="160"/>
      <c r="F235" s="168"/>
      <c r="G235" s="162"/>
      <c r="H235" s="162"/>
      <c r="I235" s="162"/>
    </row>
    <row r="236" spans="1:9" ht="12.75" x14ac:dyDescent="0.2">
      <c r="A236" s="168"/>
      <c r="B236" s="162"/>
      <c r="C236" s="162"/>
      <c r="D236" s="162"/>
      <c r="E236" s="160"/>
      <c r="F236" s="168"/>
      <c r="G236" s="162"/>
      <c r="H236" s="162"/>
      <c r="I236" s="162"/>
    </row>
    <row r="237" spans="1:9" ht="12.75" x14ac:dyDescent="0.2">
      <c r="A237" s="168"/>
      <c r="B237" s="162"/>
      <c r="C237" s="162"/>
      <c r="D237" s="162"/>
      <c r="E237" s="160"/>
      <c r="F237" s="168"/>
      <c r="G237" s="162"/>
      <c r="H237" s="162"/>
      <c r="I237" s="162"/>
    </row>
    <row r="238" spans="1:9" ht="12.75" x14ac:dyDescent="0.2">
      <c r="A238" s="168"/>
      <c r="B238" s="162"/>
      <c r="C238" s="162"/>
      <c r="D238" s="162"/>
      <c r="E238" s="160"/>
      <c r="F238" s="168"/>
      <c r="G238" s="162"/>
      <c r="H238" s="162"/>
      <c r="I238" s="162"/>
    </row>
    <row r="239" spans="1:9" ht="12.75" x14ac:dyDescent="0.2">
      <c r="A239" s="168"/>
      <c r="B239" s="162"/>
      <c r="C239" s="162"/>
      <c r="D239" s="162"/>
      <c r="E239" s="160"/>
      <c r="F239" s="168"/>
      <c r="G239" s="162"/>
      <c r="H239" s="162"/>
      <c r="I239" s="162"/>
    </row>
    <row r="240" spans="1:9" ht="12.75" x14ac:dyDescent="0.2">
      <c r="A240" s="168"/>
      <c r="B240" s="162"/>
      <c r="C240" s="162"/>
      <c r="D240" s="162"/>
      <c r="E240" s="160"/>
      <c r="F240" s="168"/>
      <c r="G240" s="162"/>
      <c r="H240" s="162"/>
      <c r="I240" s="162"/>
    </row>
    <row r="241" spans="1:9" ht="12.75" x14ac:dyDescent="0.2">
      <c r="A241" s="168"/>
      <c r="B241" s="162"/>
      <c r="C241" s="162"/>
      <c r="D241" s="162"/>
      <c r="E241" s="160"/>
      <c r="F241" s="168"/>
      <c r="G241" s="162"/>
      <c r="H241" s="162"/>
      <c r="I241" s="162"/>
    </row>
    <row r="242" spans="1:9" ht="12.75" x14ac:dyDescent="0.2">
      <c r="A242" s="168"/>
      <c r="B242" s="162"/>
      <c r="C242" s="162"/>
      <c r="D242" s="162"/>
      <c r="E242" s="160"/>
      <c r="F242" s="168"/>
      <c r="G242" s="162"/>
      <c r="H242" s="162"/>
      <c r="I242" s="162"/>
    </row>
    <row r="243" spans="1:9" ht="12.75" x14ac:dyDescent="0.2">
      <c r="A243" s="168"/>
      <c r="B243" s="162"/>
      <c r="C243" s="162"/>
      <c r="D243" s="162"/>
      <c r="E243" s="160"/>
      <c r="F243" s="168"/>
      <c r="G243" s="162"/>
      <c r="H243" s="162"/>
      <c r="I243" s="162"/>
    </row>
    <row r="244" spans="1:9" ht="12.75" x14ac:dyDescent="0.2">
      <c r="A244" s="168"/>
      <c r="B244" s="162"/>
      <c r="C244" s="162"/>
      <c r="D244" s="162"/>
      <c r="E244" s="160"/>
      <c r="F244" s="168"/>
      <c r="G244" s="162"/>
      <c r="H244" s="162"/>
      <c r="I244" s="162"/>
    </row>
    <row r="245" spans="1:9" ht="12.75" x14ac:dyDescent="0.2">
      <c r="A245" s="168"/>
      <c r="B245" s="162"/>
      <c r="C245" s="162"/>
      <c r="D245" s="162"/>
      <c r="E245" s="160"/>
      <c r="F245" s="168"/>
      <c r="G245" s="162"/>
      <c r="H245" s="162"/>
      <c r="I245" s="162"/>
    </row>
    <row r="246" spans="1:9" ht="12.75" x14ac:dyDescent="0.2">
      <c r="A246" s="168"/>
      <c r="B246" s="162"/>
      <c r="C246" s="162"/>
      <c r="D246" s="162"/>
      <c r="E246" s="160"/>
      <c r="F246" s="168"/>
      <c r="G246" s="162"/>
      <c r="H246" s="162"/>
      <c r="I246" s="162"/>
    </row>
    <row r="247" spans="1:9" ht="12.75" x14ac:dyDescent="0.2">
      <c r="A247" s="168"/>
      <c r="B247" s="162"/>
      <c r="C247" s="162"/>
      <c r="D247" s="162"/>
      <c r="E247" s="160"/>
      <c r="F247" s="168"/>
      <c r="G247" s="162"/>
      <c r="H247" s="162"/>
      <c r="I247" s="162"/>
    </row>
    <row r="248" spans="1:9" ht="12.75" x14ac:dyDescent="0.2">
      <c r="A248" s="168"/>
      <c r="B248" s="162"/>
      <c r="C248" s="162"/>
      <c r="D248" s="162"/>
      <c r="E248" s="160"/>
      <c r="F248" s="168"/>
      <c r="G248" s="162"/>
      <c r="H248" s="162"/>
      <c r="I248" s="162"/>
    </row>
    <row r="249" spans="1:9" ht="12.75" x14ac:dyDescent="0.2">
      <c r="A249" s="168"/>
      <c r="B249" s="162"/>
      <c r="C249" s="162"/>
      <c r="D249" s="162"/>
      <c r="E249" s="160"/>
      <c r="F249" s="168"/>
      <c r="G249" s="162"/>
      <c r="H249" s="162"/>
      <c r="I249" s="162"/>
    </row>
    <row r="250" spans="1:9" ht="12.75" x14ac:dyDescent="0.2">
      <c r="A250" s="168"/>
      <c r="B250" s="162"/>
      <c r="C250" s="162"/>
      <c r="D250" s="162"/>
      <c r="E250" s="160"/>
      <c r="F250" s="168"/>
      <c r="G250" s="162"/>
      <c r="H250" s="162"/>
      <c r="I250" s="162"/>
    </row>
    <row r="251" spans="1:9" ht="12.75" x14ac:dyDescent="0.2">
      <c r="A251" s="168"/>
      <c r="B251" s="162"/>
      <c r="C251" s="162"/>
      <c r="D251" s="162"/>
      <c r="E251" s="160"/>
      <c r="F251" s="168"/>
      <c r="G251" s="162"/>
      <c r="H251" s="162"/>
      <c r="I251" s="162"/>
    </row>
    <row r="252" spans="1:9" ht="12.75" x14ac:dyDescent="0.2">
      <c r="A252" s="168"/>
      <c r="B252" s="162"/>
      <c r="C252" s="162"/>
      <c r="D252" s="162"/>
      <c r="E252" s="160"/>
      <c r="F252" s="168"/>
      <c r="G252" s="162"/>
      <c r="H252" s="162"/>
      <c r="I252" s="162"/>
    </row>
    <row r="253" spans="1:9" ht="12.75" x14ac:dyDescent="0.2">
      <c r="A253" s="168"/>
      <c r="B253" s="162"/>
      <c r="C253" s="162"/>
      <c r="D253" s="162"/>
      <c r="E253" s="160"/>
      <c r="F253" s="168"/>
      <c r="G253" s="162"/>
      <c r="H253" s="162"/>
      <c r="I253" s="162"/>
    </row>
    <row r="254" spans="1:9" ht="12.75" x14ac:dyDescent="0.2">
      <c r="A254" s="168"/>
      <c r="B254" s="162"/>
      <c r="C254" s="162"/>
      <c r="D254" s="162"/>
      <c r="E254" s="160"/>
      <c r="F254" s="168"/>
      <c r="G254" s="162"/>
      <c r="H254" s="162"/>
      <c r="I254" s="162"/>
    </row>
    <row r="255" spans="1:9" ht="12.75" x14ac:dyDescent="0.2">
      <c r="A255" s="168"/>
      <c r="B255" s="162"/>
      <c r="C255" s="162"/>
      <c r="D255" s="162"/>
      <c r="E255" s="160"/>
      <c r="F255" s="168"/>
      <c r="G255" s="162"/>
      <c r="H255" s="162"/>
      <c r="I255" s="162"/>
    </row>
    <row r="256" spans="1:9" ht="12.75" x14ac:dyDescent="0.2">
      <c r="A256" s="168"/>
      <c r="B256" s="162"/>
      <c r="C256" s="162"/>
      <c r="D256" s="162"/>
      <c r="E256" s="160"/>
      <c r="F256" s="168"/>
      <c r="G256" s="162"/>
      <c r="H256" s="162"/>
      <c r="I256" s="162"/>
    </row>
    <row r="257" spans="1:9" ht="12.75" x14ac:dyDescent="0.2">
      <c r="A257" s="168"/>
      <c r="B257" s="162"/>
      <c r="C257" s="162"/>
      <c r="D257" s="162"/>
      <c r="E257" s="160"/>
      <c r="F257" s="168"/>
      <c r="G257" s="162"/>
      <c r="H257" s="162"/>
      <c r="I257" s="162"/>
    </row>
    <row r="258" spans="1:9" ht="12.75" x14ac:dyDescent="0.2">
      <c r="A258" s="168"/>
      <c r="B258" s="162"/>
      <c r="C258" s="162"/>
      <c r="D258" s="162"/>
      <c r="E258" s="160"/>
      <c r="F258" s="168"/>
      <c r="G258" s="162"/>
      <c r="H258" s="162"/>
      <c r="I258" s="162"/>
    </row>
    <row r="259" spans="1:9" ht="12.75" x14ac:dyDescent="0.2">
      <c r="A259" s="168"/>
      <c r="B259" s="162"/>
      <c r="C259" s="162"/>
      <c r="D259" s="162"/>
      <c r="E259" s="160"/>
      <c r="F259" s="168"/>
      <c r="G259" s="162"/>
      <c r="H259" s="162"/>
      <c r="I259" s="162"/>
    </row>
    <row r="260" spans="1:9" ht="12.75" x14ac:dyDescent="0.2">
      <c r="A260" s="168"/>
      <c r="B260" s="162"/>
      <c r="C260" s="162"/>
      <c r="D260" s="162"/>
      <c r="E260" s="160"/>
      <c r="F260" s="168"/>
      <c r="G260" s="162"/>
      <c r="H260" s="162"/>
      <c r="I260" s="162"/>
    </row>
    <row r="261" spans="1:9" ht="12.75" x14ac:dyDescent="0.2">
      <c r="A261" s="168"/>
      <c r="B261" s="162"/>
      <c r="C261" s="162"/>
      <c r="D261" s="162"/>
      <c r="E261" s="160"/>
      <c r="F261" s="168"/>
      <c r="G261" s="162"/>
      <c r="H261" s="162"/>
      <c r="I261" s="162"/>
    </row>
    <row r="262" spans="1:9" ht="12.75" x14ac:dyDescent="0.2">
      <c r="A262" s="168"/>
      <c r="B262" s="162"/>
      <c r="C262" s="162"/>
      <c r="D262" s="162"/>
      <c r="E262" s="160"/>
      <c r="F262" s="168"/>
      <c r="G262" s="162"/>
      <c r="H262" s="162"/>
      <c r="I262" s="162"/>
    </row>
    <row r="263" spans="1:9" ht="12.75" x14ac:dyDescent="0.2">
      <c r="A263" s="168"/>
      <c r="B263" s="162"/>
      <c r="C263" s="162"/>
      <c r="D263" s="162"/>
      <c r="E263" s="160"/>
      <c r="F263" s="168"/>
      <c r="G263" s="162"/>
      <c r="H263" s="162"/>
      <c r="I263" s="162"/>
    </row>
    <row r="264" spans="1:9" ht="12.75" x14ac:dyDescent="0.2">
      <c r="A264" s="168"/>
      <c r="B264" s="162"/>
      <c r="C264" s="162"/>
      <c r="D264" s="162"/>
      <c r="E264" s="160"/>
      <c r="F264" s="168"/>
      <c r="G264" s="162"/>
      <c r="H264" s="162"/>
      <c r="I264" s="162"/>
    </row>
    <row r="265" spans="1:9" ht="12.75" x14ac:dyDescent="0.2">
      <c r="A265" s="168"/>
      <c r="B265" s="162"/>
      <c r="C265" s="162"/>
      <c r="D265" s="162"/>
      <c r="E265" s="160"/>
      <c r="F265" s="168"/>
      <c r="G265" s="162"/>
      <c r="H265" s="162"/>
      <c r="I265" s="162"/>
    </row>
    <row r="266" spans="1:9" ht="12.75" x14ac:dyDescent="0.2">
      <c r="A266" s="168"/>
      <c r="B266" s="162"/>
      <c r="C266" s="162"/>
      <c r="D266" s="162"/>
      <c r="E266" s="160"/>
      <c r="F266" s="168"/>
      <c r="G266" s="162"/>
      <c r="H266" s="162"/>
      <c r="I266" s="162"/>
    </row>
    <row r="267" spans="1:9" ht="12.75" x14ac:dyDescent="0.2">
      <c r="A267" s="168"/>
      <c r="B267" s="162"/>
      <c r="C267" s="162"/>
      <c r="D267" s="162"/>
      <c r="E267" s="160"/>
      <c r="F267" s="168"/>
      <c r="G267" s="162"/>
      <c r="H267" s="162"/>
      <c r="I267" s="162"/>
    </row>
    <row r="268" spans="1:9" ht="12.75" x14ac:dyDescent="0.2">
      <c r="A268" s="168"/>
      <c r="B268" s="162"/>
      <c r="C268" s="162"/>
      <c r="D268" s="162"/>
      <c r="E268" s="160"/>
      <c r="F268" s="168"/>
      <c r="G268" s="162"/>
      <c r="H268" s="162"/>
      <c r="I268" s="162"/>
    </row>
    <row r="269" spans="1:9" ht="12.75" x14ac:dyDescent="0.2">
      <c r="A269" s="168"/>
      <c r="B269" s="162"/>
      <c r="C269" s="162"/>
      <c r="D269" s="162"/>
      <c r="E269" s="160"/>
      <c r="F269" s="168"/>
      <c r="G269" s="162"/>
      <c r="H269" s="162"/>
      <c r="I269" s="162"/>
    </row>
    <row r="270" spans="1:9" ht="12.75" x14ac:dyDescent="0.2">
      <c r="A270" s="168"/>
      <c r="B270" s="162"/>
      <c r="C270" s="162"/>
      <c r="D270" s="162"/>
      <c r="E270" s="160"/>
      <c r="F270" s="168"/>
      <c r="G270" s="162"/>
      <c r="H270" s="162"/>
      <c r="I270" s="162"/>
    </row>
    <row r="271" spans="1:9" ht="12.75" x14ac:dyDescent="0.2">
      <c r="A271" s="168"/>
      <c r="B271" s="162"/>
      <c r="C271" s="162"/>
      <c r="D271" s="162"/>
      <c r="E271" s="160"/>
      <c r="F271" s="168"/>
      <c r="G271" s="162"/>
      <c r="H271" s="162"/>
      <c r="I271" s="162"/>
    </row>
    <row r="272" spans="1:9" ht="12.75" x14ac:dyDescent="0.2">
      <c r="A272" s="168"/>
      <c r="B272" s="162"/>
      <c r="C272" s="162"/>
      <c r="D272" s="162"/>
      <c r="E272" s="160"/>
      <c r="F272" s="168"/>
      <c r="G272" s="162"/>
      <c r="H272" s="162"/>
      <c r="I272" s="162"/>
    </row>
    <row r="273" spans="1:9" ht="12.75" x14ac:dyDescent="0.2">
      <c r="A273" s="168"/>
      <c r="B273" s="162"/>
      <c r="C273" s="162"/>
      <c r="D273" s="162"/>
      <c r="E273" s="160"/>
      <c r="F273" s="168"/>
      <c r="G273" s="162"/>
      <c r="H273" s="162"/>
      <c r="I273" s="162"/>
    </row>
    <row r="274" spans="1:9" ht="12.75" x14ac:dyDescent="0.2">
      <c r="A274" s="168"/>
      <c r="B274" s="162"/>
      <c r="C274" s="162"/>
      <c r="D274" s="162"/>
      <c r="E274" s="160"/>
      <c r="F274" s="168"/>
      <c r="G274" s="162"/>
      <c r="H274" s="162"/>
      <c r="I274" s="162"/>
    </row>
    <row r="275" spans="1:9" ht="12.75" x14ac:dyDescent="0.2">
      <c r="A275" s="168"/>
      <c r="B275" s="162"/>
      <c r="C275" s="162"/>
      <c r="D275" s="162"/>
      <c r="E275" s="160"/>
      <c r="F275" s="168"/>
      <c r="G275" s="162"/>
      <c r="H275" s="162"/>
      <c r="I275" s="162"/>
    </row>
    <row r="276" spans="1:9" ht="12.75" x14ac:dyDescent="0.2">
      <c r="A276" s="168"/>
      <c r="B276" s="162"/>
      <c r="C276" s="162"/>
      <c r="D276" s="162"/>
      <c r="E276" s="160"/>
      <c r="F276" s="168"/>
      <c r="G276" s="162"/>
      <c r="H276" s="162"/>
      <c r="I276" s="162"/>
    </row>
    <row r="277" spans="1:9" ht="12.75" x14ac:dyDescent="0.2">
      <c r="A277" s="168"/>
      <c r="B277" s="162"/>
      <c r="C277" s="162"/>
      <c r="D277" s="162"/>
      <c r="E277" s="160"/>
      <c r="F277" s="168"/>
      <c r="G277" s="162"/>
      <c r="H277" s="162"/>
      <c r="I277" s="162"/>
    </row>
    <row r="278" spans="1:9" ht="12.75" x14ac:dyDescent="0.2">
      <c r="A278" s="168"/>
      <c r="B278" s="162"/>
      <c r="C278" s="162"/>
      <c r="D278" s="162"/>
      <c r="E278" s="160"/>
      <c r="F278" s="168"/>
      <c r="G278" s="162"/>
      <c r="H278" s="162"/>
      <c r="I278" s="162"/>
    </row>
    <row r="279" spans="1:9" ht="12.75" x14ac:dyDescent="0.2">
      <c r="A279" s="168"/>
      <c r="B279" s="162"/>
      <c r="C279" s="162"/>
      <c r="D279" s="162"/>
      <c r="E279" s="160"/>
      <c r="F279" s="168"/>
      <c r="G279" s="162"/>
      <c r="H279" s="162"/>
      <c r="I279" s="162"/>
    </row>
    <row r="280" spans="1:9" ht="12.75" x14ac:dyDescent="0.2">
      <c r="A280" s="168"/>
      <c r="B280" s="162"/>
      <c r="C280" s="162"/>
      <c r="D280" s="162"/>
      <c r="E280" s="160"/>
      <c r="F280" s="168"/>
      <c r="G280" s="162"/>
      <c r="H280" s="162"/>
      <c r="I280" s="162"/>
    </row>
    <row r="281" spans="1:9" ht="12.75" x14ac:dyDescent="0.2">
      <c r="A281" s="168"/>
      <c r="B281" s="162"/>
      <c r="C281" s="162"/>
      <c r="D281" s="162"/>
      <c r="E281" s="160"/>
      <c r="F281" s="168"/>
      <c r="G281" s="162"/>
      <c r="H281" s="162"/>
      <c r="I281" s="162"/>
    </row>
    <row r="282" spans="1:9" ht="12.75" x14ac:dyDescent="0.2">
      <c r="A282" s="168"/>
      <c r="B282" s="162"/>
      <c r="C282" s="162"/>
      <c r="D282" s="162"/>
      <c r="E282" s="160"/>
      <c r="F282" s="168"/>
      <c r="G282" s="162"/>
      <c r="H282" s="162"/>
      <c r="I282" s="162"/>
    </row>
    <row r="283" spans="1:9" ht="12.75" x14ac:dyDescent="0.2">
      <c r="A283" s="168"/>
      <c r="B283" s="162"/>
      <c r="C283" s="162"/>
      <c r="D283" s="162"/>
      <c r="E283" s="160"/>
      <c r="F283" s="168"/>
      <c r="G283" s="162"/>
      <c r="H283" s="162"/>
      <c r="I283" s="162"/>
    </row>
    <row r="284" spans="1:9" ht="12.75" x14ac:dyDescent="0.2">
      <c r="A284" s="168"/>
      <c r="B284" s="162"/>
      <c r="C284" s="162"/>
      <c r="D284" s="162"/>
      <c r="E284" s="160"/>
      <c r="F284" s="168"/>
      <c r="G284" s="162"/>
      <c r="H284" s="162"/>
      <c r="I284" s="162"/>
    </row>
    <row r="285" spans="1:9" ht="12.75" x14ac:dyDescent="0.2">
      <c r="A285" s="168"/>
      <c r="B285" s="162"/>
      <c r="C285" s="162"/>
      <c r="D285" s="162"/>
      <c r="E285" s="160"/>
      <c r="F285" s="168"/>
      <c r="G285" s="162"/>
      <c r="H285" s="162"/>
      <c r="I285" s="162"/>
    </row>
    <row r="286" spans="1:9" ht="12.75" x14ac:dyDescent="0.2">
      <c r="A286" s="168"/>
      <c r="B286" s="162"/>
      <c r="C286" s="162"/>
      <c r="D286" s="162"/>
      <c r="E286" s="160"/>
      <c r="F286" s="168"/>
      <c r="G286" s="162"/>
      <c r="H286" s="162"/>
      <c r="I286" s="162"/>
    </row>
    <row r="287" spans="1:9" ht="12.75" x14ac:dyDescent="0.2">
      <c r="A287" s="168"/>
      <c r="B287" s="162"/>
      <c r="C287" s="162"/>
      <c r="D287" s="162"/>
      <c r="E287" s="160"/>
      <c r="F287" s="168"/>
      <c r="G287" s="162"/>
      <c r="H287" s="162"/>
      <c r="I287" s="162"/>
    </row>
    <row r="288" spans="1:9" ht="12.75" x14ac:dyDescent="0.2">
      <c r="A288" s="168"/>
      <c r="B288" s="162"/>
      <c r="C288" s="162"/>
      <c r="D288" s="162"/>
      <c r="E288" s="160"/>
      <c r="F288" s="168"/>
      <c r="G288" s="162"/>
      <c r="H288" s="162"/>
      <c r="I288" s="162"/>
    </row>
    <row r="289" spans="1:9" ht="12.75" x14ac:dyDescent="0.2">
      <c r="A289" s="168"/>
      <c r="B289" s="162"/>
      <c r="C289" s="162"/>
      <c r="D289" s="162"/>
      <c r="E289" s="160"/>
      <c r="F289" s="168"/>
      <c r="G289" s="162"/>
      <c r="H289" s="162"/>
      <c r="I289" s="162"/>
    </row>
    <row r="290" spans="1:9" ht="12.75" x14ac:dyDescent="0.2">
      <c r="A290" s="168"/>
      <c r="B290" s="162"/>
      <c r="C290" s="162"/>
      <c r="D290" s="162"/>
      <c r="E290" s="160"/>
      <c r="F290" s="168"/>
      <c r="G290" s="162"/>
      <c r="H290" s="162"/>
      <c r="I290" s="162"/>
    </row>
    <row r="291" spans="1:9" ht="12.75" x14ac:dyDescent="0.2">
      <c r="A291" s="168"/>
      <c r="B291" s="162"/>
      <c r="C291" s="162"/>
      <c r="D291" s="162"/>
      <c r="E291" s="160"/>
      <c r="F291" s="168"/>
      <c r="G291" s="162"/>
      <c r="H291" s="162"/>
      <c r="I291" s="162"/>
    </row>
    <row r="292" spans="1:9" ht="12.75" x14ac:dyDescent="0.2">
      <c r="A292" s="168"/>
      <c r="B292" s="162"/>
      <c r="C292" s="162"/>
      <c r="D292" s="162"/>
      <c r="E292" s="160"/>
      <c r="F292" s="168"/>
      <c r="G292" s="162"/>
      <c r="H292" s="162"/>
      <c r="I292" s="162"/>
    </row>
    <row r="293" spans="1:9" ht="12.75" x14ac:dyDescent="0.2">
      <c r="A293" s="168"/>
      <c r="B293" s="162"/>
      <c r="C293" s="162"/>
      <c r="D293" s="162"/>
      <c r="E293" s="160"/>
      <c r="F293" s="168"/>
      <c r="G293" s="162"/>
      <c r="H293" s="162"/>
      <c r="I293" s="162"/>
    </row>
    <row r="294" spans="1:9" ht="12.75" x14ac:dyDescent="0.2">
      <c r="A294" s="168"/>
      <c r="B294" s="162"/>
      <c r="C294" s="162"/>
      <c r="D294" s="162"/>
      <c r="E294" s="160"/>
      <c r="F294" s="168"/>
      <c r="G294" s="162"/>
      <c r="H294" s="162"/>
      <c r="I294" s="162"/>
    </row>
    <row r="295" spans="1:9" ht="12.75" x14ac:dyDescent="0.2">
      <c r="A295" s="168"/>
      <c r="B295" s="162"/>
      <c r="C295" s="162"/>
      <c r="D295" s="162"/>
      <c r="E295" s="160"/>
      <c r="F295" s="168"/>
      <c r="G295" s="162"/>
      <c r="H295" s="162"/>
      <c r="I295" s="162"/>
    </row>
    <row r="296" spans="1:9" ht="12.75" x14ac:dyDescent="0.2">
      <c r="A296" s="168"/>
      <c r="B296" s="162"/>
      <c r="C296" s="162"/>
      <c r="D296" s="162"/>
      <c r="E296" s="160"/>
      <c r="F296" s="168"/>
      <c r="G296" s="162"/>
      <c r="H296" s="162"/>
      <c r="I296" s="162"/>
    </row>
    <row r="297" spans="1:9" ht="12.75" x14ac:dyDescent="0.2">
      <c r="A297" s="168"/>
      <c r="B297" s="162"/>
      <c r="C297" s="162"/>
      <c r="D297" s="162"/>
      <c r="E297" s="160"/>
      <c r="F297" s="168"/>
      <c r="G297" s="162"/>
      <c r="H297" s="162"/>
      <c r="I297" s="162"/>
    </row>
    <row r="298" spans="1:9" ht="12.75" x14ac:dyDescent="0.2">
      <c r="A298" s="168"/>
      <c r="B298" s="162"/>
      <c r="C298" s="162"/>
      <c r="D298" s="162"/>
      <c r="E298" s="160"/>
      <c r="F298" s="168"/>
      <c r="G298" s="162"/>
      <c r="H298" s="162"/>
      <c r="I298" s="162"/>
    </row>
    <row r="299" spans="1:9" ht="12.75" x14ac:dyDescent="0.2">
      <c r="A299" s="168"/>
      <c r="B299" s="162"/>
      <c r="C299" s="162"/>
      <c r="D299" s="162"/>
      <c r="E299" s="160"/>
      <c r="F299" s="168"/>
      <c r="G299" s="162"/>
      <c r="H299" s="162"/>
      <c r="I299" s="162"/>
    </row>
    <row r="300" spans="1:9" ht="12.75" x14ac:dyDescent="0.2">
      <c r="A300" s="168"/>
      <c r="B300" s="162"/>
      <c r="C300" s="162"/>
      <c r="D300" s="162"/>
      <c r="E300" s="160"/>
      <c r="F300" s="168"/>
      <c r="G300" s="162"/>
      <c r="H300" s="162"/>
      <c r="I300" s="162"/>
    </row>
    <row r="301" spans="1:9" ht="12.75" x14ac:dyDescent="0.2">
      <c r="A301" s="168"/>
      <c r="B301" s="162"/>
      <c r="C301" s="162"/>
      <c r="D301" s="162"/>
      <c r="E301" s="160"/>
      <c r="F301" s="168"/>
      <c r="G301" s="162"/>
      <c r="H301" s="162"/>
      <c r="I301" s="162"/>
    </row>
    <row r="302" spans="1:9" ht="12.75" x14ac:dyDescent="0.2">
      <c r="A302" s="168"/>
      <c r="B302" s="162"/>
      <c r="C302" s="162"/>
      <c r="D302" s="162"/>
      <c r="E302" s="160"/>
      <c r="F302" s="168"/>
      <c r="G302" s="162"/>
      <c r="H302" s="162"/>
      <c r="I302" s="162"/>
    </row>
    <row r="303" spans="1:9" ht="12.75" x14ac:dyDescent="0.2">
      <c r="A303" s="168"/>
      <c r="B303" s="162"/>
      <c r="C303" s="162"/>
      <c r="D303" s="162"/>
      <c r="E303" s="160"/>
      <c r="F303" s="168"/>
      <c r="G303" s="162"/>
      <c r="H303" s="162"/>
      <c r="I303" s="162"/>
    </row>
    <row r="304" spans="1:9" ht="12.75" x14ac:dyDescent="0.2">
      <c r="A304" s="168"/>
      <c r="B304" s="162"/>
      <c r="C304" s="162"/>
      <c r="D304" s="162"/>
      <c r="E304" s="160"/>
      <c r="F304" s="168"/>
      <c r="G304" s="162"/>
      <c r="H304" s="162"/>
      <c r="I304" s="162"/>
    </row>
    <row r="305" spans="1:9" ht="12.75" x14ac:dyDescent="0.2">
      <c r="A305" s="168"/>
      <c r="B305" s="162"/>
      <c r="C305" s="162"/>
      <c r="D305" s="162"/>
      <c r="E305" s="160"/>
      <c r="F305" s="168"/>
      <c r="G305" s="162"/>
      <c r="H305" s="162"/>
      <c r="I305" s="162"/>
    </row>
    <row r="306" spans="1:9" ht="12.75" x14ac:dyDescent="0.2">
      <c r="A306" s="168"/>
      <c r="B306" s="162"/>
      <c r="C306" s="162"/>
      <c r="D306" s="162"/>
      <c r="E306" s="160"/>
      <c r="F306" s="168"/>
      <c r="G306" s="162"/>
      <c r="H306" s="162"/>
      <c r="I306" s="162"/>
    </row>
    <row r="307" spans="1:9" ht="12.75" x14ac:dyDescent="0.2">
      <c r="A307" s="168"/>
      <c r="B307" s="162"/>
      <c r="C307" s="162"/>
      <c r="D307" s="162"/>
      <c r="E307" s="160"/>
      <c r="F307" s="168"/>
      <c r="G307" s="162"/>
      <c r="H307" s="162"/>
      <c r="I307" s="162"/>
    </row>
    <row r="308" spans="1:9" ht="12.75" x14ac:dyDescent="0.2">
      <c r="A308" s="168"/>
      <c r="B308" s="162"/>
      <c r="C308" s="162"/>
      <c r="D308" s="162"/>
      <c r="E308" s="160"/>
      <c r="F308" s="168"/>
      <c r="G308" s="162"/>
      <c r="H308" s="162"/>
      <c r="I308" s="162"/>
    </row>
    <row r="309" spans="1:9" ht="12.75" x14ac:dyDescent="0.2">
      <c r="A309" s="168"/>
      <c r="B309" s="162"/>
      <c r="C309" s="162"/>
      <c r="D309" s="162"/>
      <c r="E309" s="160"/>
      <c r="F309" s="168"/>
      <c r="G309" s="162"/>
      <c r="H309" s="162"/>
      <c r="I309" s="162"/>
    </row>
    <row r="310" spans="1:9" ht="12.75" x14ac:dyDescent="0.2">
      <c r="A310" s="168"/>
      <c r="B310" s="162"/>
      <c r="C310" s="162"/>
      <c r="D310" s="162"/>
      <c r="E310" s="160"/>
      <c r="F310" s="168"/>
      <c r="G310" s="162"/>
      <c r="H310" s="162"/>
      <c r="I310" s="162"/>
    </row>
    <row r="311" spans="1:9" ht="12.75" x14ac:dyDescent="0.2">
      <c r="A311" s="168"/>
      <c r="B311" s="162"/>
      <c r="C311" s="162"/>
      <c r="D311" s="162"/>
      <c r="E311" s="160"/>
      <c r="F311" s="168"/>
      <c r="G311" s="162"/>
      <c r="H311" s="162"/>
      <c r="I311" s="162"/>
    </row>
    <row r="312" spans="1:9" ht="12.75" x14ac:dyDescent="0.2">
      <c r="A312" s="168"/>
      <c r="B312" s="162"/>
      <c r="C312" s="162"/>
      <c r="D312" s="162"/>
      <c r="E312" s="160"/>
      <c r="F312" s="168"/>
      <c r="G312" s="162"/>
      <c r="H312" s="162"/>
      <c r="I312" s="162"/>
    </row>
    <row r="313" spans="1:9" ht="12.75" x14ac:dyDescent="0.2">
      <c r="A313" s="168"/>
      <c r="B313" s="162"/>
      <c r="C313" s="162"/>
      <c r="D313" s="162"/>
      <c r="E313" s="160"/>
      <c r="F313" s="168"/>
      <c r="G313" s="162"/>
      <c r="H313" s="162"/>
      <c r="I313" s="162"/>
    </row>
    <row r="314" spans="1:9" ht="12.75" x14ac:dyDescent="0.2">
      <c r="A314" s="168"/>
      <c r="B314" s="162"/>
      <c r="C314" s="162"/>
      <c r="D314" s="162"/>
      <c r="E314" s="160"/>
      <c r="F314" s="168"/>
      <c r="G314" s="162"/>
      <c r="H314" s="162"/>
      <c r="I314" s="162"/>
    </row>
    <row r="315" spans="1:9" ht="12.75" x14ac:dyDescent="0.2">
      <c r="A315" s="168"/>
      <c r="B315" s="162"/>
      <c r="C315" s="162"/>
      <c r="D315" s="162"/>
      <c r="E315" s="160"/>
      <c r="F315" s="168"/>
      <c r="G315" s="162"/>
      <c r="H315" s="162"/>
      <c r="I315" s="162"/>
    </row>
    <row r="316" spans="1:9" ht="12.75" x14ac:dyDescent="0.2">
      <c r="A316" s="168"/>
      <c r="B316" s="162"/>
      <c r="C316" s="162"/>
      <c r="D316" s="162"/>
      <c r="E316" s="160"/>
      <c r="F316" s="168"/>
      <c r="G316" s="162"/>
      <c r="H316" s="162"/>
      <c r="I316" s="162"/>
    </row>
    <row r="317" spans="1:9" ht="12.75" x14ac:dyDescent="0.2">
      <c r="A317" s="168"/>
      <c r="B317" s="162"/>
      <c r="C317" s="162"/>
      <c r="D317" s="162"/>
      <c r="E317" s="160"/>
      <c r="F317" s="168"/>
      <c r="G317" s="162"/>
      <c r="H317" s="162"/>
      <c r="I317" s="162"/>
    </row>
    <row r="318" spans="1:9" ht="12.75" x14ac:dyDescent="0.2">
      <c r="A318" s="168"/>
      <c r="B318" s="162"/>
      <c r="C318" s="162"/>
      <c r="D318" s="162"/>
      <c r="E318" s="160"/>
      <c r="F318" s="168"/>
      <c r="G318" s="162"/>
      <c r="H318" s="162"/>
      <c r="I318" s="162"/>
    </row>
    <row r="319" spans="1:9" ht="12.75" x14ac:dyDescent="0.2">
      <c r="A319" s="168"/>
      <c r="B319" s="162"/>
      <c r="C319" s="162"/>
      <c r="D319" s="162"/>
      <c r="E319" s="160"/>
      <c r="F319" s="168"/>
      <c r="G319" s="162"/>
      <c r="H319" s="162"/>
      <c r="I319" s="162"/>
    </row>
    <row r="320" spans="1:9" ht="12.75" x14ac:dyDescent="0.2">
      <c r="A320" s="168"/>
      <c r="B320" s="162"/>
      <c r="C320" s="162"/>
      <c r="D320" s="162"/>
      <c r="E320" s="160"/>
      <c r="F320" s="168"/>
      <c r="G320" s="162"/>
      <c r="H320" s="162"/>
      <c r="I320" s="162"/>
    </row>
    <row r="321" spans="1:9" ht="12.75" x14ac:dyDescent="0.2">
      <c r="A321" s="168"/>
      <c r="B321" s="162"/>
      <c r="C321" s="162"/>
      <c r="D321" s="162"/>
      <c r="E321" s="160"/>
      <c r="F321" s="168"/>
      <c r="G321" s="162"/>
      <c r="H321" s="162"/>
      <c r="I321" s="162"/>
    </row>
    <row r="322" spans="1:9" ht="12.75" x14ac:dyDescent="0.2">
      <c r="A322" s="168"/>
      <c r="B322" s="162"/>
      <c r="C322" s="162"/>
      <c r="D322" s="162"/>
      <c r="E322" s="160"/>
      <c r="F322" s="168"/>
      <c r="G322" s="162"/>
      <c r="H322" s="162"/>
      <c r="I322" s="162"/>
    </row>
    <row r="323" spans="1:9" ht="12.75" x14ac:dyDescent="0.2">
      <c r="A323" s="168"/>
      <c r="B323" s="162"/>
      <c r="C323" s="162"/>
      <c r="D323" s="162"/>
      <c r="E323" s="160"/>
      <c r="F323" s="168"/>
      <c r="G323" s="162"/>
      <c r="H323" s="162"/>
      <c r="I323" s="162"/>
    </row>
    <row r="324" spans="1:9" ht="12.75" x14ac:dyDescent="0.2">
      <c r="A324" s="168"/>
      <c r="B324" s="162"/>
      <c r="C324" s="162"/>
      <c r="D324" s="162"/>
      <c r="E324" s="160"/>
      <c r="F324" s="168"/>
      <c r="G324" s="162"/>
      <c r="H324" s="162"/>
      <c r="I324" s="162"/>
    </row>
    <row r="325" spans="1:9" ht="12.75" x14ac:dyDescent="0.2">
      <c r="A325" s="168"/>
      <c r="B325" s="162"/>
      <c r="C325" s="162"/>
      <c r="D325" s="162"/>
      <c r="E325" s="160"/>
      <c r="F325" s="168"/>
      <c r="G325" s="162"/>
      <c r="H325" s="162"/>
      <c r="I325" s="162"/>
    </row>
    <row r="326" spans="1:9" ht="12.75" x14ac:dyDescent="0.2">
      <c r="A326" s="168"/>
      <c r="B326" s="162"/>
      <c r="C326" s="162"/>
      <c r="D326" s="162"/>
      <c r="E326" s="160"/>
      <c r="F326" s="168"/>
      <c r="G326" s="162"/>
      <c r="H326" s="162"/>
      <c r="I326" s="162"/>
    </row>
    <row r="327" spans="1:9" ht="12.75" x14ac:dyDescent="0.2">
      <c r="A327" s="168"/>
      <c r="B327" s="162"/>
      <c r="C327" s="162"/>
      <c r="D327" s="162"/>
      <c r="E327" s="160"/>
      <c r="F327" s="168"/>
      <c r="G327" s="162"/>
      <c r="H327" s="162"/>
      <c r="I327" s="162"/>
    </row>
    <row r="328" spans="1:9" ht="12.75" x14ac:dyDescent="0.2">
      <c r="A328" s="168"/>
      <c r="B328" s="162"/>
      <c r="C328" s="162"/>
      <c r="D328" s="162"/>
      <c r="E328" s="160"/>
      <c r="F328" s="168"/>
      <c r="G328" s="162"/>
      <c r="H328" s="162"/>
      <c r="I328" s="162"/>
    </row>
    <row r="329" spans="1:9" ht="12.75" x14ac:dyDescent="0.2">
      <c r="A329" s="168"/>
      <c r="B329" s="162"/>
      <c r="C329" s="162"/>
      <c r="D329" s="162"/>
      <c r="E329" s="160"/>
      <c r="F329" s="168"/>
      <c r="G329" s="162"/>
      <c r="H329" s="162"/>
      <c r="I329" s="162"/>
    </row>
    <row r="330" spans="1:9" ht="12.75" x14ac:dyDescent="0.2">
      <c r="A330" s="168"/>
      <c r="B330" s="162"/>
      <c r="C330" s="162"/>
      <c r="D330" s="162"/>
      <c r="E330" s="160"/>
      <c r="F330" s="168"/>
      <c r="G330" s="162"/>
      <c r="H330" s="162"/>
      <c r="I330" s="162"/>
    </row>
    <row r="331" spans="1:9" ht="12.75" x14ac:dyDescent="0.2">
      <c r="A331" s="168"/>
      <c r="B331" s="162"/>
      <c r="C331" s="162"/>
      <c r="D331" s="162"/>
      <c r="E331" s="160"/>
      <c r="F331" s="168"/>
      <c r="G331" s="162"/>
      <c r="H331" s="162"/>
      <c r="I331" s="162"/>
    </row>
    <row r="332" spans="1:9" ht="12.75" x14ac:dyDescent="0.2">
      <c r="A332" s="168"/>
      <c r="B332" s="162"/>
      <c r="C332" s="162"/>
      <c r="D332" s="162"/>
      <c r="E332" s="160"/>
      <c r="F332" s="168"/>
      <c r="G332" s="162"/>
      <c r="H332" s="162"/>
      <c r="I332" s="162"/>
    </row>
    <row r="333" spans="1:9" ht="12.75" x14ac:dyDescent="0.2">
      <c r="A333" s="168"/>
      <c r="B333" s="162"/>
      <c r="C333" s="162"/>
      <c r="D333" s="162"/>
      <c r="E333" s="160"/>
      <c r="F333" s="168"/>
      <c r="G333" s="162"/>
      <c r="H333" s="162"/>
      <c r="I333" s="162"/>
    </row>
    <row r="334" spans="1:9" ht="12.75" x14ac:dyDescent="0.2">
      <c r="A334" s="168"/>
      <c r="B334" s="162"/>
      <c r="C334" s="162"/>
      <c r="D334" s="162"/>
      <c r="E334" s="160"/>
      <c r="F334" s="168"/>
      <c r="G334" s="162"/>
      <c r="H334" s="162"/>
      <c r="I334" s="162"/>
    </row>
    <row r="335" spans="1:9" ht="12.75" x14ac:dyDescent="0.2">
      <c r="A335" s="168"/>
      <c r="B335" s="162"/>
      <c r="C335" s="162"/>
      <c r="D335" s="162"/>
      <c r="E335" s="160"/>
      <c r="F335" s="168"/>
      <c r="G335" s="162"/>
      <c r="H335" s="162"/>
      <c r="I335" s="162"/>
    </row>
    <row r="336" spans="1:9" ht="12.75" x14ac:dyDescent="0.2">
      <c r="A336" s="168"/>
      <c r="B336" s="162"/>
      <c r="C336" s="162"/>
      <c r="D336" s="162"/>
      <c r="E336" s="160"/>
      <c r="F336" s="168"/>
      <c r="G336" s="162"/>
      <c r="H336" s="162"/>
      <c r="I336" s="162"/>
    </row>
    <row r="337" spans="1:9" ht="12.75" x14ac:dyDescent="0.2">
      <c r="A337" s="168"/>
      <c r="B337" s="162"/>
      <c r="C337" s="162"/>
      <c r="D337" s="162"/>
      <c r="E337" s="160"/>
      <c r="F337" s="168"/>
      <c r="G337" s="162"/>
      <c r="H337" s="162"/>
      <c r="I337" s="162"/>
    </row>
    <row r="338" spans="1:9" ht="12.75" x14ac:dyDescent="0.2">
      <c r="A338" s="168"/>
      <c r="B338" s="162"/>
      <c r="C338" s="162"/>
      <c r="D338" s="162"/>
      <c r="E338" s="160"/>
      <c r="F338" s="168"/>
      <c r="G338" s="162"/>
      <c r="H338" s="162"/>
      <c r="I338" s="162"/>
    </row>
    <row r="339" spans="1:9" ht="12.75" x14ac:dyDescent="0.2">
      <c r="A339" s="168"/>
      <c r="B339" s="162"/>
      <c r="C339" s="162"/>
      <c r="D339" s="162"/>
      <c r="E339" s="160"/>
      <c r="F339" s="168"/>
      <c r="G339" s="162"/>
      <c r="H339" s="162"/>
      <c r="I339" s="162"/>
    </row>
    <row r="340" spans="1:9" ht="12.75" x14ac:dyDescent="0.2">
      <c r="A340" s="168"/>
      <c r="B340" s="162"/>
      <c r="C340" s="162"/>
      <c r="D340" s="162"/>
      <c r="E340" s="160"/>
      <c r="F340" s="168"/>
      <c r="G340" s="162"/>
      <c r="H340" s="162"/>
      <c r="I340" s="162"/>
    </row>
    <row r="341" spans="1:9" ht="12.75" x14ac:dyDescent="0.2">
      <c r="A341" s="168"/>
      <c r="B341" s="162"/>
      <c r="C341" s="162"/>
      <c r="D341" s="162"/>
      <c r="E341" s="160"/>
      <c r="F341" s="168"/>
      <c r="G341" s="162"/>
      <c r="H341" s="162"/>
      <c r="I341" s="162"/>
    </row>
    <row r="342" spans="1:9" ht="12.75" x14ac:dyDescent="0.2">
      <c r="A342" s="168"/>
      <c r="B342" s="162"/>
      <c r="C342" s="162"/>
      <c r="D342" s="162"/>
      <c r="E342" s="160"/>
      <c r="F342" s="168"/>
      <c r="G342" s="162"/>
      <c r="H342" s="162"/>
      <c r="I342" s="162"/>
    </row>
    <row r="343" spans="1:9" ht="12.75" x14ac:dyDescent="0.2">
      <c r="A343" s="168"/>
      <c r="B343" s="162"/>
      <c r="C343" s="162"/>
      <c r="D343" s="162"/>
      <c r="E343" s="160"/>
      <c r="F343" s="168"/>
      <c r="G343" s="162"/>
      <c r="H343" s="162"/>
      <c r="I343" s="162"/>
    </row>
    <row r="344" spans="1:9" ht="12.75" x14ac:dyDescent="0.2">
      <c r="A344" s="168"/>
      <c r="B344" s="162"/>
      <c r="C344" s="162"/>
      <c r="D344" s="162"/>
      <c r="E344" s="160"/>
      <c r="F344" s="168"/>
      <c r="G344" s="162"/>
      <c r="H344" s="162"/>
      <c r="I344" s="162"/>
    </row>
    <row r="345" spans="1:9" ht="12.75" x14ac:dyDescent="0.2">
      <c r="A345" s="168"/>
      <c r="B345" s="162"/>
      <c r="C345" s="162"/>
      <c r="D345" s="162"/>
      <c r="E345" s="160"/>
      <c r="F345" s="168"/>
      <c r="G345" s="162"/>
      <c r="H345" s="162"/>
      <c r="I345" s="162"/>
    </row>
    <row r="346" spans="1:9" ht="12.75" x14ac:dyDescent="0.2">
      <c r="A346" s="168"/>
      <c r="B346" s="162"/>
      <c r="C346" s="162"/>
      <c r="D346" s="162"/>
      <c r="E346" s="160"/>
      <c r="F346" s="168"/>
      <c r="G346" s="162"/>
      <c r="H346" s="162"/>
      <c r="I346" s="162"/>
    </row>
    <row r="347" spans="1:9" ht="12.75" x14ac:dyDescent="0.2">
      <c r="A347" s="168"/>
      <c r="B347" s="162"/>
      <c r="C347" s="162"/>
      <c r="D347" s="162"/>
      <c r="E347" s="160"/>
      <c r="F347" s="168"/>
      <c r="G347" s="162"/>
      <c r="H347" s="162"/>
      <c r="I347" s="162"/>
    </row>
    <row r="348" spans="1:9" ht="12.75" x14ac:dyDescent="0.2">
      <c r="A348" s="168"/>
      <c r="B348" s="162"/>
      <c r="C348" s="162"/>
      <c r="D348" s="162"/>
      <c r="E348" s="160"/>
      <c r="F348" s="168"/>
      <c r="G348" s="162"/>
      <c r="H348" s="162"/>
      <c r="I348" s="162"/>
    </row>
    <row r="349" spans="1:9" ht="12.75" x14ac:dyDescent="0.2">
      <c r="A349" s="168"/>
      <c r="B349" s="162"/>
      <c r="C349" s="162"/>
      <c r="D349" s="162"/>
      <c r="E349" s="160"/>
      <c r="F349" s="168"/>
      <c r="G349" s="162"/>
      <c r="H349" s="162"/>
      <c r="I349" s="162"/>
    </row>
    <row r="350" spans="1:9" ht="12.75" x14ac:dyDescent="0.2">
      <c r="A350" s="168"/>
      <c r="B350" s="162"/>
      <c r="C350" s="162"/>
      <c r="D350" s="162"/>
      <c r="E350" s="160"/>
      <c r="F350" s="168"/>
      <c r="G350" s="162"/>
      <c r="H350" s="162"/>
      <c r="I350" s="162"/>
    </row>
    <row r="351" spans="1:9" ht="12.75" x14ac:dyDescent="0.2">
      <c r="A351" s="168"/>
      <c r="B351" s="162"/>
      <c r="C351" s="162"/>
      <c r="D351" s="162"/>
      <c r="E351" s="160"/>
      <c r="F351" s="168"/>
      <c r="G351" s="162"/>
      <c r="H351" s="162"/>
      <c r="I351" s="162"/>
    </row>
    <row r="352" spans="1:9" ht="12.75" x14ac:dyDescent="0.2">
      <c r="A352" s="168"/>
      <c r="B352" s="162"/>
      <c r="C352" s="162"/>
      <c r="D352" s="162"/>
      <c r="E352" s="160"/>
      <c r="F352" s="168"/>
      <c r="G352" s="162"/>
      <c r="H352" s="162"/>
      <c r="I352" s="162"/>
    </row>
    <row r="353" spans="1:9" ht="12.75" x14ac:dyDescent="0.2">
      <c r="A353" s="168"/>
      <c r="B353" s="162"/>
      <c r="C353" s="162"/>
      <c r="D353" s="162"/>
      <c r="E353" s="160"/>
      <c r="F353" s="168"/>
      <c r="G353" s="162"/>
      <c r="H353" s="162"/>
      <c r="I353" s="162"/>
    </row>
    <row r="354" spans="1:9" ht="12.75" x14ac:dyDescent="0.2">
      <c r="A354" s="168"/>
      <c r="B354" s="162"/>
      <c r="C354" s="162"/>
      <c r="D354" s="162"/>
      <c r="E354" s="160"/>
      <c r="F354" s="168"/>
      <c r="G354" s="162"/>
      <c r="H354" s="162"/>
      <c r="I354" s="162"/>
    </row>
    <row r="355" spans="1:9" ht="12.75" x14ac:dyDescent="0.2">
      <c r="A355" s="168"/>
      <c r="B355" s="162"/>
      <c r="C355" s="162"/>
      <c r="D355" s="162"/>
      <c r="E355" s="160"/>
      <c r="F355" s="168"/>
      <c r="G355" s="162"/>
      <c r="H355" s="162"/>
      <c r="I355" s="162"/>
    </row>
    <row r="356" spans="1:9" ht="12.75" x14ac:dyDescent="0.2">
      <c r="A356" s="168"/>
      <c r="B356" s="162"/>
      <c r="C356" s="162"/>
      <c r="D356" s="162"/>
      <c r="E356" s="160"/>
      <c r="F356" s="168"/>
      <c r="G356" s="162"/>
      <c r="H356" s="162"/>
      <c r="I356" s="162"/>
    </row>
    <row r="357" spans="1:9" ht="12.75" x14ac:dyDescent="0.2">
      <c r="A357" s="168"/>
      <c r="B357" s="162"/>
      <c r="C357" s="162"/>
      <c r="D357" s="162"/>
      <c r="E357" s="160"/>
      <c r="F357" s="168"/>
      <c r="G357" s="162"/>
      <c r="H357" s="162"/>
      <c r="I357" s="162"/>
    </row>
    <row r="358" spans="1:9" ht="12.75" x14ac:dyDescent="0.2">
      <c r="A358" s="168"/>
      <c r="B358" s="162"/>
      <c r="C358" s="162"/>
      <c r="D358" s="162"/>
      <c r="E358" s="160"/>
      <c r="F358" s="168"/>
      <c r="G358" s="162"/>
      <c r="H358" s="162"/>
      <c r="I358" s="162"/>
    </row>
    <row r="359" spans="1:9" ht="12.75" x14ac:dyDescent="0.2">
      <c r="A359" s="168"/>
      <c r="B359" s="162"/>
      <c r="C359" s="162"/>
      <c r="D359" s="162"/>
      <c r="E359" s="160"/>
      <c r="F359" s="168"/>
      <c r="G359" s="162"/>
      <c r="H359" s="162"/>
      <c r="I359" s="162"/>
    </row>
    <row r="360" spans="1:9" ht="12.75" x14ac:dyDescent="0.2">
      <c r="A360" s="168"/>
      <c r="B360" s="162"/>
      <c r="C360" s="162"/>
      <c r="D360" s="162"/>
      <c r="E360" s="160"/>
      <c r="F360" s="168"/>
      <c r="G360" s="162"/>
      <c r="H360" s="162"/>
      <c r="I360" s="162"/>
    </row>
    <row r="361" spans="1:9" ht="12.75" x14ac:dyDescent="0.2">
      <c r="A361" s="168"/>
      <c r="B361" s="162"/>
      <c r="C361" s="162"/>
      <c r="D361" s="162"/>
      <c r="E361" s="160"/>
      <c r="F361" s="168"/>
      <c r="G361" s="162"/>
      <c r="H361" s="162"/>
      <c r="I361" s="162"/>
    </row>
    <row r="362" spans="1:9" ht="12.75" x14ac:dyDescent="0.2">
      <c r="A362" s="168"/>
      <c r="B362" s="162"/>
      <c r="C362" s="162"/>
      <c r="D362" s="162"/>
      <c r="E362" s="160"/>
      <c r="F362" s="168"/>
      <c r="G362" s="162"/>
      <c r="H362" s="162"/>
      <c r="I362" s="162"/>
    </row>
    <row r="363" spans="1:9" ht="12.75" x14ac:dyDescent="0.2">
      <c r="A363" s="168"/>
      <c r="B363" s="162"/>
      <c r="C363" s="162"/>
      <c r="D363" s="162"/>
      <c r="E363" s="160"/>
      <c r="F363" s="168"/>
      <c r="G363" s="162"/>
      <c r="H363" s="162"/>
      <c r="I363" s="162"/>
    </row>
    <row r="364" spans="1:9" ht="12.75" x14ac:dyDescent="0.2">
      <c r="A364" s="168"/>
      <c r="B364" s="162"/>
      <c r="C364" s="162"/>
      <c r="D364" s="162"/>
      <c r="E364" s="160"/>
      <c r="F364" s="168"/>
      <c r="G364" s="162"/>
      <c r="H364" s="162"/>
      <c r="I364" s="162"/>
    </row>
    <row r="365" spans="1:9" ht="12.75" x14ac:dyDescent="0.2">
      <c r="A365" s="168"/>
      <c r="B365" s="162"/>
      <c r="C365" s="162"/>
      <c r="D365" s="162"/>
      <c r="E365" s="160"/>
      <c r="F365" s="168"/>
      <c r="G365" s="162"/>
      <c r="H365" s="162"/>
      <c r="I365" s="162"/>
    </row>
    <row r="366" spans="1:9" ht="12.75" x14ac:dyDescent="0.2">
      <c r="A366" s="168"/>
      <c r="B366" s="162"/>
      <c r="C366" s="162"/>
      <c r="D366" s="162"/>
      <c r="E366" s="160"/>
      <c r="F366" s="168"/>
      <c r="G366" s="162"/>
      <c r="H366" s="162"/>
      <c r="I366" s="162"/>
    </row>
    <row r="367" spans="1:9" ht="12.75" x14ac:dyDescent="0.2">
      <c r="A367" s="168"/>
      <c r="B367" s="162"/>
      <c r="C367" s="162"/>
      <c r="D367" s="162"/>
      <c r="E367" s="160"/>
      <c r="F367" s="168"/>
      <c r="G367" s="162"/>
      <c r="H367" s="162"/>
      <c r="I367" s="162"/>
    </row>
    <row r="368" spans="1:9" ht="12.75" x14ac:dyDescent="0.2">
      <c r="A368" s="168"/>
      <c r="B368" s="162"/>
      <c r="C368" s="162"/>
      <c r="D368" s="162"/>
      <c r="E368" s="160"/>
      <c r="F368" s="168"/>
      <c r="G368" s="162"/>
      <c r="H368" s="162"/>
      <c r="I368" s="162"/>
    </row>
    <row r="369" spans="1:9" ht="12.75" x14ac:dyDescent="0.2">
      <c r="A369" s="168"/>
      <c r="B369" s="162"/>
      <c r="C369" s="162"/>
      <c r="D369" s="162"/>
      <c r="E369" s="160"/>
      <c r="F369" s="168"/>
      <c r="G369" s="162"/>
      <c r="H369" s="162"/>
      <c r="I369" s="162"/>
    </row>
    <row r="370" spans="1:9" ht="12.75" x14ac:dyDescent="0.2">
      <c r="A370" s="168"/>
      <c r="B370" s="162"/>
      <c r="C370" s="162"/>
      <c r="D370" s="162"/>
      <c r="E370" s="160"/>
      <c r="F370" s="168"/>
      <c r="G370" s="162"/>
      <c r="H370" s="162"/>
      <c r="I370" s="162"/>
    </row>
    <row r="371" spans="1:9" ht="12.75" x14ac:dyDescent="0.2">
      <c r="A371" s="168"/>
      <c r="B371" s="162"/>
      <c r="C371" s="162"/>
      <c r="D371" s="162"/>
      <c r="E371" s="160"/>
      <c r="F371" s="168"/>
      <c r="G371" s="162"/>
      <c r="H371" s="162"/>
      <c r="I371" s="162"/>
    </row>
    <row r="372" spans="1:9" ht="12.75" x14ac:dyDescent="0.2">
      <c r="A372" s="168"/>
      <c r="B372" s="162"/>
      <c r="C372" s="162"/>
      <c r="D372" s="162"/>
      <c r="E372" s="160"/>
      <c r="F372" s="168"/>
      <c r="G372" s="162"/>
      <c r="H372" s="162"/>
      <c r="I372" s="162"/>
    </row>
    <row r="373" spans="1:9" ht="12.75" x14ac:dyDescent="0.2">
      <c r="A373" s="168"/>
      <c r="B373" s="162"/>
      <c r="C373" s="162"/>
      <c r="D373" s="162"/>
      <c r="E373" s="160"/>
      <c r="F373" s="168"/>
      <c r="G373" s="162"/>
      <c r="H373" s="162"/>
      <c r="I373" s="162"/>
    </row>
    <row r="374" spans="1:9" ht="12.75" x14ac:dyDescent="0.2">
      <c r="A374" s="168"/>
      <c r="B374" s="162"/>
      <c r="C374" s="162"/>
      <c r="D374" s="162"/>
      <c r="E374" s="160"/>
      <c r="F374" s="168"/>
      <c r="G374" s="162"/>
      <c r="H374" s="162"/>
      <c r="I374" s="162"/>
    </row>
    <row r="375" spans="1:9" ht="12.75" x14ac:dyDescent="0.2">
      <c r="A375" s="168"/>
      <c r="B375" s="162"/>
      <c r="C375" s="162"/>
      <c r="D375" s="162"/>
      <c r="E375" s="160"/>
      <c r="F375" s="168"/>
      <c r="G375" s="162"/>
      <c r="H375" s="162"/>
      <c r="I375" s="162"/>
    </row>
    <row r="376" spans="1:9" ht="12.75" x14ac:dyDescent="0.2">
      <c r="A376" s="168"/>
      <c r="B376" s="162"/>
      <c r="C376" s="162"/>
      <c r="D376" s="162"/>
      <c r="E376" s="160"/>
      <c r="F376" s="168"/>
      <c r="G376" s="162"/>
      <c r="H376" s="162"/>
      <c r="I376" s="162"/>
    </row>
    <row r="377" spans="1:9" ht="12.75" x14ac:dyDescent="0.2">
      <c r="A377" s="168"/>
      <c r="B377" s="162"/>
      <c r="C377" s="162"/>
      <c r="D377" s="162"/>
      <c r="E377" s="160"/>
      <c r="F377" s="168"/>
      <c r="G377" s="162"/>
      <c r="H377" s="162"/>
      <c r="I377" s="162"/>
    </row>
    <row r="378" spans="1:9" ht="12.75" x14ac:dyDescent="0.2">
      <c r="A378" s="168"/>
      <c r="B378" s="162"/>
      <c r="C378" s="162"/>
      <c r="D378" s="162"/>
      <c r="E378" s="160"/>
      <c r="F378" s="168"/>
      <c r="G378" s="162"/>
      <c r="H378" s="162"/>
      <c r="I378" s="162"/>
    </row>
    <row r="379" spans="1:9" ht="12.75" x14ac:dyDescent="0.2">
      <c r="A379" s="168"/>
      <c r="B379" s="162"/>
      <c r="C379" s="162"/>
      <c r="D379" s="162"/>
      <c r="E379" s="160"/>
      <c r="F379" s="168"/>
      <c r="G379" s="162"/>
      <c r="H379" s="162"/>
      <c r="I379" s="162"/>
    </row>
    <row r="380" spans="1:9" ht="12.75" x14ac:dyDescent="0.2">
      <c r="A380" s="168"/>
      <c r="B380" s="162"/>
      <c r="C380" s="162"/>
      <c r="D380" s="162"/>
      <c r="E380" s="160"/>
      <c r="F380" s="168"/>
      <c r="G380" s="162"/>
      <c r="H380" s="162"/>
      <c r="I380" s="162"/>
    </row>
    <row r="381" spans="1:9" ht="12.75" x14ac:dyDescent="0.2">
      <c r="A381" s="168"/>
      <c r="B381" s="162"/>
      <c r="C381" s="162"/>
      <c r="D381" s="162"/>
      <c r="E381" s="160"/>
      <c r="F381" s="168"/>
      <c r="G381" s="162"/>
      <c r="H381" s="162"/>
      <c r="I381" s="162"/>
    </row>
    <row r="382" spans="1:9" ht="12.75" x14ac:dyDescent="0.2">
      <c r="A382" s="168"/>
      <c r="B382" s="162"/>
      <c r="C382" s="162"/>
      <c r="D382" s="162"/>
      <c r="E382" s="160"/>
      <c r="F382" s="168"/>
      <c r="G382" s="162"/>
      <c r="H382" s="162"/>
      <c r="I382" s="162"/>
    </row>
    <row r="383" spans="1:9" ht="12.75" x14ac:dyDescent="0.2">
      <c r="A383" s="168"/>
      <c r="B383" s="162"/>
      <c r="C383" s="162"/>
      <c r="D383" s="162"/>
      <c r="E383" s="160"/>
      <c r="F383" s="168"/>
      <c r="G383" s="162"/>
      <c r="H383" s="162"/>
      <c r="I383" s="162"/>
    </row>
    <row r="384" spans="1:9" ht="12.75" x14ac:dyDescent="0.2">
      <c r="A384" s="168"/>
      <c r="B384" s="162"/>
      <c r="C384" s="162"/>
      <c r="D384" s="162"/>
      <c r="E384" s="160"/>
      <c r="F384" s="168"/>
      <c r="G384" s="162"/>
      <c r="H384" s="162"/>
      <c r="I384" s="162"/>
    </row>
    <row r="385" spans="1:9" ht="12.75" x14ac:dyDescent="0.2">
      <c r="A385" s="168"/>
      <c r="B385" s="162"/>
      <c r="C385" s="162"/>
      <c r="D385" s="162"/>
      <c r="E385" s="160"/>
      <c r="F385" s="168"/>
      <c r="G385" s="162"/>
      <c r="H385" s="162"/>
      <c r="I385" s="162"/>
    </row>
    <row r="386" spans="1:9" ht="12.75" x14ac:dyDescent="0.2">
      <c r="A386" s="168"/>
      <c r="B386" s="162"/>
      <c r="C386" s="162"/>
      <c r="D386" s="162"/>
      <c r="E386" s="160"/>
      <c r="F386" s="168"/>
      <c r="G386" s="162"/>
      <c r="H386" s="162"/>
      <c r="I386" s="162"/>
    </row>
    <row r="387" spans="1:9" ht="12.75" x14ac:dyDescent="0.2">
      <c r="A387" s="168"/>
      <c r="B387" s="162"/>
      <c r="C387" s="162"/>
      <c r="D387" s="162"/>
      <c r="E387" s="160"/>
      <c r="F387" s="168"/>
      <c r="G387" s="162"/>
      <c r="H387" s="162"/>
      <c r="I387" s="162"/>
    </row>
    <row r="388" spans="1:9" ht="12.75" x14ac:dyDescent="0.2">
      <c r="A388" s="168"/>
      <c r="B388" s="162"/>
      <c r="C388" s="162"/>
      <c r="D388" s="162"/>
      <c r="E388" s="160"/>
      <c r="F388" s="168"/>
      <c r="G388" s="162"/>
      <c r="H388" s="162"/>
      <c r="I388" s="162"/>
    </row>
    <row r="389" spans="1:9" ht="12.75" x14ac:dyDescent="0.2">
      <c r="A389" s="168"/>
      <c r="B389" s="162"/>
      <c r="C389" s="162"/>
      <c r="D389" s="162"/>
      <c r="E389" s="160"/>
      <c r="F389" s="168"/>
      <c r="G389" s="162"/>
      <c r="H389" s="162"/>
      <c r="I389" s="162"/>
    </row>
    <row r="390" spans="1:9" ht="12.75" x14ac:dyDescent="0.2">
      <c r="A390" s="168"/>
      <c r="B390" s="162"/>
      <c r="C390" s="162"/>
      <c r="D390" s="162"/>
      <c r="E390" s="160"/>
      <c r="F390" s="168"/>
      <c r="G390" s="162"/>
      <c r="H390" s="162"/>
      <c r="I390" s="162"/>
    </row>
    <row r="391" spans="1:9" ht="12.75" x14ac:dyDescent="0.2">
      <c r="A391" s="168"/>
      <c r="B391" s="162"/>
      <c r="C391" s="162"/>
      <c r="D391" s="162"/>
      <c r="E391" s="160"/>
      <c r="F391" s="168"/>
      <c r="G391" s="162"/>
      <c r="H391" s="162"/>
      <c r="I391" s="162"/>
    </row>
    <row r="392" spans="1:9" ht="12.75" x14ac:dyDescent="0.2">
      <c r="A392" s="168"/>
      <c r="B392" s="162"/>
      <c r="C392" s="162"/>
      <c r="D392" s="162"/>
      <c r="E392" s="160"/>
      <c r="F392" s="168"/>
      <c r="G392" s="162"/>
      <c r="H392" s="162"/>
      <c r="I392" s="162"/>
    </row>
    <row r="393" spans="1:9" ht="12.75" x14ac:dyDescent="0.2">
      <c r="A393" s="168"/>
      <c r="B393" s="162"/>
      <c r="C393" s="162"/>
      <c r="D393" s="162"/>
      <c r="E393" s="160"/>
      <c r="F393" s="168"/>
      <c r="G393" s="162"/>
      <c r="H393" s="162"/>
      <c r="I393" s="162"/>
    </row>
    <row r="394" spans="1:9" ht="12.75" x14ac:dyDescent="0.2">
      <c r="A394" s="168"/>
      <c r="B394" s="162"/>
      <c r="C394" s="162"/>
      <c r="D394" s="162"/>
      <c r="E394" s="160"/>
      <c r="F394" s="168"/>
      <c r="G394" s="162"/>
      <c r="H394" s="162"/>
      <c r="I394" s="162"/>
    </row>
    <row r="395" spans="1:9" ht="12.75" x14ac:dyDescent="0.2">
      <c r="A395" s="168"/>
      <c r="B395" s="162"/>
      <c r="C395" s="162"/>
      <c r="D395" s="162"/>
      <c r="E395" s="160"/>
      <c r="F395" s="168"/>
      <c r="G395" s="162"/>
      <c r="H395" s="162"/>
      <c r="I395" s="162"/>
    </row>
    <row r="396" spans="1:9" ht="12.75" x14ac:dyDescent="0.2">
      <c r="A396" s="168"/>
      <c r="B396" s="162"/>
      <c r="C396" s="162"/>
      <c r="D396" s="162"/>
      <c r="E396" s="160"/>
      <c r="F396" s="168"/>
      <c r="G396" s="162"/>
      <c r="H396" s="162"/>
      <c r="I396" s="162"/>
    </row>
    <row r="397" spans="1:9" ht="12.75" x14ac:dyDescent="0.2">
      <c r="A397" s="168"/>
      <c r="B397" s="162"/>
      <c r="C397" s="162"/>
      <c r="D397" s="162"/>
      <c r="E397" s="160"/>
      <c r="F397" s="168"/>
      <c r="G397" s="162"/>
      <c r="H397" s="162"/>
      <c r="I397" s="162"/>
    </row>
    <row r="398" spans="1:9" ht="12.75" x14ac:dyDescent="0.2">
      <c r="A398" s="168"/>
      <c r="B398" s="162"/>
      <c r="C398" s="162"/>
      <c r="D398" s="162"/>
      <c r="E398" s="160"/>
      <c r="F398" s="168"/>
      <c r="G398" s="162"/>
      <c r="H398" s="162"/>
      <c r="I398" s="162"/>
    </row>
    <row r="399" spans="1:9" ht="12.75" x14ac:dyDescent="0.2">
      <c r="A399" s="168"/>
      <c r="B399" s="162"/>
      <c r="C399" s="162"/>
      <c r="D399" s="162"/>
      <c r="E399" s="160"/>
      <c r="F399" s="168"/>
      <c r="G399" s="162"/>
      <c r="H399" s="162"/>
      <c r="I399" s="162"/>
    </row>
    <row r="400" spans="1:9" ht="12.75" x14ac:dyDescent="0.2">
      <c r="A400" s="168"/>
      <c r="B400" s="162"/>
      <c r="C400" s="162"/>
      <c r="D400" s="162"/>
      <c r="E400" s="160"/>
      <c r="F400" s="168"/>
      <c r="G400" s="162"/>
      <c r="H400" s="162"/>
      <c r="I400" s="162"/>
    </row>
    <row r="401" spans="1:9" ht="12.75" x14ac:dyDescent="0.2">
      <c r="A401" s="168"/>
      <c r="B401" s="162"/>
      <c r="C401" s="162"/>
      <c r="D401" s="162"/>
      <c r="E401" s="160"/>
      <c r="F401" s="168"/>
      <c r="G401" s="162"/>
      <c r="H401" s="162"/>
      <c r="I401" s="162"/>
    </row>
    <row r="402" spans="1:9" ht="12.75" x14ac:dyDescent="0.2">
      <c r="A402" s="168"/>
      <c r="B402" s="162"/>
      <c r="C402" s="162"/>
      <c r="D402" s="162"/>
      <c r="E402" s="160"/>
      <c r="F402" s="168"/>
      <c r="G402" s="162"/>
      <c r="H402" s="162"/>
      <c r="I402" s="162"/>
    </row>
    <row r="403" spans="1:9" ht="12.75" x14ac:dyDescent="0.2">
      <c r="A403" s="168"/>
      <c r="B403" s="162"/>
      <c r="C403" s="162"/>
      <c r="D403" s="162"/>
      <c r="E403" s="160"/>
      <c r="F403" s="168"/>
      <c r="G403" s="162"/>
      <c r="H403" s="162"/>
      <c r="I403" s="162"/>
    </row>
    <row r="404" spans="1:9" ht="12.75" x14ac:dyDescent="0.2">
      <c r="A404" s="168"/>
      <c r="B404" s="162"/>
      <c r="C404" s="162"/>
      <c r="D404" s="162"/>
      <c r="E404" s="160"/>
      <c r="F404" s="168"/>
      <c r="G404" s="162"/>
      <c r="H404" s="162"/>
      <c r="I404" s="162"/>
    </row>
    <row r="405" spans="1:9" ht="12.75" x14ac:dyDescent="0.2">
      <c r="A405" s="168"/>
      <c r="B405" s="162"/>
      <c r="C405" s="162"/>
      <c r="D405" s="162"/>
      <c r="E405" s="160"/>
      <c r="F405" s="168"/>
      <c r="G405" s="162"/>
      <c r="H405" s="162"/>
      <c r="I405" s="162"/>
    </row>
    <row r="406" spans="1:9" ht="12.75" x14ac:dyDescent="0.2">
      <c r="A406" s="168"/>
      <c r="B406" s="162"/>
      <c r="C406" s="162"/>
      <c r="D406" s="162"/>
      <c r="E406" s="160"/>
      <c r="F406" s="168"/>
      <c r="G406" s="162"/>
      <c r="H406" s="162"/>
      <c r="I406" s="162"/>
    </row>
    <row r="407" spans="1:9" ht="12.75" x14ac:dyDescent="0.2">
      <c r="A407" s="168"/>
      <c r="B407" s="162"/>
      <c r="C407" s="162"/>
      <c r="D407" s="162"/>
      <c r="E407" s="160"/>
      <c r="F407" s="168"/>
      <c r="G407" s="162"/>
      <c r="H407" s="162"/>
      <c r="I407" s="162"/>
    </row>
    <row r="408" spans="1:9" ht="12.75" x14ac:dyDescent="0.2">
      <c r="A408" s="168"/>
      <c r="B408" s="162"/>
      <c r="C408" s="162"/>
      <c r="D408" s="162"/>
      <c r="E408" s="160"/>
      <c r="F408" s="168"/>
      <c r="G408" s="162"/>
      <c r="H408" s="162"/>
      <c r="I408" s="162"/>
    </row>
    <row r="409" spans="1:9" ht="12.75" x14ac:dyDescent="0.2">
      <c r="A409" s="168"/>
      <c r="B409" s="162"/>
      <c r="C409" s="162"/>
      <c r="D409" s="162"/>
      <c r="E409" s="160"/>
      <c r="F409" s="168"/>
      <c r="G409" s="162"/>
      <c r="H409" s="162"/>
      <c r="I409" s="162"/>
    </row>
    <row r="410" spans="1:9" ht="12.75" x14ac:dyDescent="0.2">
      <c r="A410" s="168"/>
      <c r="B410" s="162"/>
      <c r="C410" s="162"/>
      <c r="D410" s="162"/>
      <c r="E410" s="160"/>
      <c r="F410" s="168"/>
      <c r="G410" s="162"/>
      <c r="H410" s="162"/>
      <c r="I410" s="162"/>
    </row>
    <row r="411" spans="1:9" ht="12.75" x14ac:dyDescent="0.2">
      <c r="A411" s="168"/>
      <c r="B411" s="162"/>
      <c r="C411" s="162"/>
      <c r="D411" s="162"/>
      <c r="E411" s="160"/>
      <c r="F411" s="168"/>
      <c r="G411" s="162"/>
      <c r="H411" s="162"/>
      <c r="I411" s="162"/>
    </row>
    <row r="412" spans="1:9" ht="12.75" x14ac:dyDescent="0.2">
      <c r="A412" s="168"/>
      <c r="B412" s="162"/>
      <c r="C412" s="162"/>
      <c r="D412" s="162"/>
      <c r="E412" s="160"/>
      <c r="F412" s="168"/>
      <c r="G412" s="162"/>
      <c r="H412" s="162"/>
      <c r="I412" s="162"/>
    </row>
    <row r="413" spans="1:9" ht="12.75" x14ac:dyDescent="0.2">
      <c r="A413" s="168"/>
      <c r="B413" s="162"/>
      <c r="C413" s="162"/>
      <c r="D413" s="162"/>
      <c r="E413" s="160"/>
      <c r="F413" s="168"/>
      <c r="G413" s="162"/>
      <c r="H413" s="162"/>
      <c r="I413" s="162"/>
    </row>
    <row r="414" spans="1:9" ht="12.75" x14ac:dyDescent="0.2">
      <c r="A414" s="168"/>
      <c r="B414" s="162"/>
      <c r="C414" s="162"/>
      <c r="D414" s="162"/>
      <c r="E414" s="160"/>
      <c r="F414" s="168"/>
      <c r="G414" s="162"/>
      <c r="H414" s="162"/>
      <c r="I414" s="162"/>
    </row>
    <row r="415" spans="1:9" ht="12.75" x14ac:dyDescent="0.2">
      <c r="A415" s="168"/>
      <c r="B415" s="162"/>
      <c r="C415" s="162"/>
      <c r="D415" s="162"/>
      <c r="E415" s="160"/>
      <c r="F415" s="168"/>
      <c r="G415" s="162"/>
      <c r="H415" s="162"/>
      <c r="I415" s="162"/>
    </row>
    <row r="416" spans="1:9" ht="12.75" x14ac:dyDescent="0.2">
      <c r="A416" s="168"/>
      <c r="B416" s="162"/>
      <c r="C416" s="162"/>
      <c r="D416" s="162"/>
      <c r="E416" s="160"/>
      <c r="F416" s="168"/>
      <c r="G416" s="162"/>
      <c r="H416" s="162"/>
      <c r="I416" s="162"/>
    </row>
    <row r="417" spans="1:9" ht="12.75" x14ac:dyDescent="0.2">
      <c r="A417" s="168"/>
      <c r="B417" s="162"/>
      <c r="C417" s="162"/>
      <c r="D417" s="162"/>
      <c r="E417" s="160"/>
      <c r="F417" s="168"/>
      <c r="G417" s="162"/>
      <c r="H417" s="162"/>
      <c r="I417" s="162"/>
    </row>
    <row r="418" spans="1:9" ht="12.75" x14ac:dyDescent="0.2">
      <c r="A418" s="168"/>
      <c r="B418" s="162"/>
      <c r="C418" s="162"/>
      <c r="D418" s="162"/>
      <c r="E418" s="160"/>
      <c r="F418" s="168"/>
      <c r="G418" s="162"/>
      <c r="H418" s="162"/>
      <c r="I418" s="162"/>
    </row>
    <row r="419" spans="1:9" ht="12.75" x14ac:dyDescent="0.2">
      <c r="A419" s="168"/>
      <c r="B419" s="162"/>
      <c r="C419" s="162"/>
      <c r="D419" s="162"/>
      <c r="E419" s="160"/>
      <c r="F419" s="168"/>
      <c r="G419" s="162"/>
      <c r="H419" s="162"/>
      <c r="I419" s="162"/>
    </row>
    <row r="420" spans="1:9" ht="12.75" x14ac:dyDescent="0.2">
      <c r="A420" s="168"/>
      <c r="B420" s="162"/>
      <c r="C420" s="162"/>
      <c r="D420" s="162"/>
      <c r="E420" s="160"/>
      <c r="F420" s="168"/>
      <c r="G420" s="162"/>
      <c r="H420" s="162"/>
      <c r="I420" s="162"/>
    </row>
    <row r="421" spans="1:9" ht="12.75" x14ac:dyDescent="0.2">
      <c r="A421" s="168"/>
      <c r="B421" s="162"/>
      <c r="C421" s="162"/>
      <c r="D421" s="162"/>
      <c r="E421" s="160"/>
      <c r="F421" s="168"/>
      <c r="G421" s="162"/>
      <c r="H421" s="162"/>
      <c r="I421" s="162"/>
    </row>
    <row r="422" spans="1:9" ht="12.75" x14ac:dyDescent="0.2">
      <c r="A422" s="168"/>
      <c r="B422" s="162"/>
      <c r="C422" s="162"/>
      <c r="D422" s="162"/>
      <c r="E422" s="160"/>
      <c r="F422" s="168"/>
      <c r="G422" s="162"/>
      <c r="H422" s="162"/>
      <c r="I422" s="162"/>
    </row>
    <row r="423" spans="1:9" ht="12.75" x14ac:dyDescent="0.2">
      <c r="A423" s="168"/>
      <c r="B423" s="162"/>
      <c r="C423" s="162"/>
      <c r="D423" s="162"/>
      <c r="E423" s="160"/>
      <c r="F423" s="168"/>
      <c r="G423" s="162"/>
      <c r="H423" s="162"/>
      <c r="I423" s="162"/>
    </row>
    <row r="424" spans="1:9" ht="12.75" x14ac:dyDescent="0.2">
      <c r="A424" s="168"/>
      <c r="B424" s="162"/>
      <c r="C424" s="162"/>
      <c r="D424" s="162"/>
      <c r="E424" s="160"/>
      <c r="F424" s="168"/>
      <c r="G424" s="162"/>
      <c r="H424" s="162"/>
      <c r="I424" s="162"/>
    </row>
    <row r="425" spans="1:9" ht="12.75" x14ac:dyDescent="0.2">
      <c r="A425" s="168"/>
      <c r="B425" s="162"/>
      <c r="C425" s="162"/>
      <c r="D425" s="162"/>
      <c r="E425" s="160"/>
      <c r="F425" s="168"/>
      <c r="G425" s="162"/>
      <c r="H425" s="162"/>
      <c r="I425" s="162"/>
    </row>
    <row r="426" spans="1:9" ht="12.75" x14ac:dyDescent="0.2">
      <c r="A426" s="168"/>
      <c r="B426" s="162"/>
      <c r="C426" s="162"/>
      <c r="D426" s="162"/>
      <c r="E426" s="160"/>
      <c r="F426" s="168"/>
      <c r="G426" s="162"/>
      <c r="H426" s="162"/>
      <c r="I426" s="162"/>
    </row>
    <row r="427" spans="1:9" ht="12.75" x14ac:dyDescent="0.2">
      <c r="A427" s="168"/>
      <c r="B427" s="162"/>
      <c r="C427" s="162"/>
      <c r="D427" s="162"/>
      <c r="E427" s="160"/>
      <c r="F427" s="168"/>
      <c r="G427" s="162"/>
      <c r="H427" s="162"/>
      <c r="I427" s="162"/>
    </row>
    <row r="428" spans="1:9" ht="12.75" x14ac:dyDescent="0.2">
      <c r="A428" s="168"/>
      <c r="B428" s="162"/>
      <c r="C428" s="162"/>
      <c r="D428" s="162"/>
      <c r="E428" s="160"/>
      <c r="F428" s="168"/>
      <c r="G428" s="162"/>
      <c r="H428" s="162"/>
      <c r="I428" s="162"/>
    </row>
    <row r="429" spans="1:9" ht="12.75" x14ac:dyDescent="0.2">
      <c r="A429" s="168"/>
      <c r="B429" s="162"/>
      <c r="C429" s="162"/>
      <c r="D429" s="162"/>
      <c r="E429" s="160"/>
      <c r="F429" s="168"/>
      <c r="G429" s="162"/>
      <c r="H429" s="162"/>
      <c r="I429" s="162"/>
    </row>
    <row r="430" spans="1:9" ht="12.75" x14ac:dyDescent="0.2">
      <c r="A430" s="168"/>
      <c r="B430" s="162"/>
      <c r="C430" s="162"/>
      <c r="D430" s="162"/>
      <c r="E430" s="160"/>
      <c r="F430" s="168"/>
      <c r="G430" s="162"/>
      <c r="H430" s="162"/>
      <c r="I430" s="162"/>
    </row>
    <row r="431" spans="1:9" ht="12.75" x14ac:dyDescent="0.2">
      <c r="A431" s="168"/>
      <c r="B431" s="162"/>
      <c r="C431" s="162"/>
      <c r="D431" s="162"/>
      <c r="E431" s="160"/>
      <c r="F431" s="168"/>
      <c r="G431" s="162"/>
      <c r="H431" s="162"/>
      <c r="I431" s="162"/>
    </row>
    <row r="432" spans="1:9" ht="12.75" x14ac:dyDescent="0.2">
      <c r="A432" s="168"/>
      <c r="B432" s="162"/>
      <c r="C432" s="162"/>
      <c r="D432" s="162"/>
      <c r="E432" s="160"/>
      <c r="F432" s="168"/>
      <c r="G432" s="162"/>
      <c r="H432" s="162"/>
      <c r="I432" s="162"/>
    </row>
    <row r="433" spans="1:9" ht="12.75" x14ac:dyDescent="0.2">
      <c r="A433" s="168"/>
      <c r="B433" s="162"/>
      <c r="C433" s="162"/>
      <c r="D433" s="162"/>
      <c r="E433" s="160"/>
      <c r="F433" s="168"/>
      <c r="G433" s="162"/>
      <c r="H433" s="162"/>
      <c r="I433" s="162"/>
    </row>
    <row r="434" spans="1:9" ht="12.75" x14ac:dyDescent="0.2">
      <c r="A434" s="168"/>
      <c r="B434" s="162"/>
      <c r="C434" s="162"/>
      <c r="D434" s="162"/>
      <c r="E434" s="160"/>
      <c r="F434" s="168"/>
      <c r="G434" s="162"/>
      <c r="H434" s="162"/>
      <c r="I434" s="162"/>
    </row>
    <row r="435" spans="1:9" ht="12.75" x14ac:dyDescent="0.2">
      <c r="A435" s="168"/>
      <c r="B435" s="162"/>
      <c r="C435" s="162"/>
      <c r="D435" s="162"/>
      <c r="E435" s="160"/>
      <c r="F435" s="168"/>
      <c r="G435" s="162"/>
      <c r="H435" s="162"/>
      <c r="I435" s="162"/>
    </row>
    <row r="436" spans="1:9" ht="12.75" x14ac:dyDescent="0.2">
      <c r="A436" s="168"/>
      <c r="B436" s="162"/>
      <c r="C436" s="162"/>
      <c r="D436" s="162"/>
      <c r="E436" s="160"/>
      <c r="F436" s="168"/>
      <c r="G436" s="162"/>
      <c r="H436" s="162"/>
      <c r="I436" s="162"/>
    </row>
    <row r="437" spans="1:9" ht="12.75" x14ac:dyDescent="0.2">
      <c r="A437" s="168"/>
      <c r="B437" s="162"/>
      <c r="C437" s="162"/>
      <c r="D437" s="162"/>
      <c r="E437" s="160"/>
      <c r="F437" s="168"/>
      <c r="G437" s="162"/>
      <c r="H437" s="162"/>
      <c r="I437" s="162"/>
    </row>
    <row r="438" spans="1:9" ht="12.75" x14ac:dyDescent="0.2">
      <c r="A438" s="168"/>
      <c r="B438" s="162"/>
      <c r="C438" s="162"/>
      <c r="D438" s="162"/>
      <c r="E438" s="160"/>
      <c r="F438" s="168"/>
      <c r="G438" s="162"/>
      <c r="H438" s="162"/>
      <c r="I438" s="162"/>
    </row>
    <row r="439" spans="1:9" ht="12.75" x14ac:dyDescent="0.2">
      <c r="A439" s="168"/>
      <c r="B439" s="162"/>
      <c r="C439" s="162"/>
      <c r="D439" s="162"/>
      <c r="E439" s="160"/>
      <c r="F439" s="168"/>
      <c r="G439" s="162"/>
      <c r="H439" s="162"/>
      <c r="I439" s="162"/>
    </row>
    <row r="440" spans="1:9" ht="12.75" x14ac:dyDescent="0.2">
      <c r="A440" s="168"/>
      <c r="B440" s="162"/>
      <c r="C440" s="162"/>
      <c r="D440" s="162"/>
      <c r="E440" s="160"/>
      <c r="F440" s="168"/>
      <c r="G440" s="162"/>
      <c r="H440" s="162"/>
      <c r="I440" s="162"/>
    </row>
    <row r="441" spans="1:9" ht="12.75" x14ac:dyDescent="0.2">
      <c r="A441" s="168"/>
      <c r="B441" s="162"/>
      <c r="C441" s="162"/>
      <c r="D441" s="162"/>
      <c r="E441" s="160"/>
      <c r="F441" s="168"/>
      <c r="G441" s="162"/>
      <c r="H441" s="162"/>
      <c r="I441" s="162"/>
    </row>
    <row r="442" spans="1:9" ht="12.75" x14ac:dyDescent="0.2">
      <c r="A442" s="168"/>
      <c r="B442" s="162"/>
      <c r="C442" s="162"/>
      <c r="D442" s="162"/>
      <c r="E442" s="160"/>
      <c r="F442" s="168"/>
      <c r="G442" s="162"/>
      <c r="H442" s="162"/>
      <c r="I442" s="162"/>
    </row>
    <row r="443" spans="1:9" ht="12.75" x14ac:dyDescent="0.2">
      <c r="A443" s="168"/>
      <c r="B443" s="162"/>
      <c r="C443" s="162"/>
      <c r="D443" s="162"/>
      <c r="E443" s="160"/>
      <c r="F443" s="168"/>
      <c r="G443" s="162"/>
      <c r="H443" s="162"/>
      <c r="I443" s="162"/>
    </row>
    <row r="444" spans="1:9" ht="12.75" x14ac:dyDescent="0.2">
      <c r="A444" s="168"/>
      <c r="B444" s="162"/>
      <c r="C444" s="162"/>
      <c r="D444" s="162"/>
      <c r="E444" s="160"/>
      <c r="F444" s="168"/>
      <c r="G444" s="162"/>
      <c r="H444" s="162"/>
      <c r="I444" s="162"/>
    </row>
    <row r="445" spans="1:9" ht="12.75" x14ac:dyDescent="0.2">
      <c r="A445" s="168"/>
      <c r="B445" s="162"/>
      <c r="C445" s="162"/>
      <c r="D445" s="162"/>
      <c r="E445" s="160"/>
      <c r="F445" s="168"/>
      <c r="G445" s="162"/>
      <c r="H445" s="162"/>
      <c r="I445" s="162"/>
    </row>
    <row r="446" spans="1:9" ht="12.75" x14ac:dyDescent="0.2">
      <c r="A446" s="168"/>
      <c r="B446" s="162"/>
      <c r="C446" s="162"/>
      <c r="D446" s="162"/>
      <c r="E446" s="160"/>
      <c r="F446" s="168"/>
      <c r="G446" s="162"/>
      <c r="H446" s="162"/>
      <c r="I446" s="162"/>
    </row>
    <row r="447" spans="1:9" ht="12.75" x14ac:dyDescent="0.2">
      <c r="A447" s="168"/>
      <c r="B447" s="162"/>
      <c r="C447" s="162"/>
      <c r="D447" s="162"/>
      <c r="E447" s="160"/>
      <c r="F447" s="168"/>
      <c r="G447" s="162"/>
      <c r="H447" s="162"/>
      <c r="I447" s="162"/>
    </row>
    <row r="448" spans="1:9" ht="12.75" x14ac:dyDescent="0.2">
      <c r="A448" s="168"/>
      <c r="B448" s="162"/>
      <c r="C448" s="162"/>
      <c r="D448" s="162"/>
      <c r="E448" s="160"/>
      <c r="F448" s="168"/>
      <c r="G448" s="162"/>
      <c r="H448" s="162"/>
      <c r="I448" s="162"/>
    </row>
    <row r="449" spans="1:9" ht="12.75" x14ac:dyDescent="0.2">
      <c r="A449" s="168"/>
      <c r="B449" s="162"/>
      <c r="C449" s="162"/>
      <c r="D449" s="162"/>
      <c r="E449" s="160"/>
      <c r="F449" s="168"/>
      <c r="G449" s="162"/>
      <c r="H449" s="162"/>
      <c r="I449" s="162"/>
    </row>
    <row r="450" spans="1:9" ht="12.75" x14ac:dyDescent="0.2">
      <c r="A450" s="168"/>
      <c r="B450" s="162"/>
      <c r="C450" s="162"/>
      <c r="D450" s="162"/>
      <c r="E450" s="160"/>
      <c r="F450" s="168"/>
      <c r="G450" s="162"/>
      <c r="H450" s="162"/>
      <c r="I450" s="162"/>
    </row>
    <row r="451" spans="1:9" ht="12.75" x14ac:dyDescent="0.2">
      <c r="A451" s="168"/>
      <c r="B451" s="162"/>
      <c r="C451" s="162"/>
      <c r="D451" s="162"/>
      <c r="E451" s="160"/>
      <c r="F451" s="168"/>
      <c r="G451" s="162"/>
      <c r="H451" s="162"/>
      <c r="I451" s="162"/>
    </row>
    <row r="452" spans="1:9" ht="12.75" x14ac:dyDescent="0.2">
      <c r="A452" s="168"/>
      <c r="B452" s="162"/>
      <c r="C452" s="162"/>
      <c r="D452" s="162"/>
      <c r="E452" s="160"/>
      <c r="F452" s="168"/>
      <c r="G452" s="162"/>
      <c r="H452" s="162"/>
      <c r="I452" s="162"/>
    </row>
    <row r="453" spans="1:9" ht="12.75" x14ac:dyDescent="0.2">
      <c r="A453" s="168"/>
      <c r="B453" s="162"/>
      <c r="C453" s="162"/>
      <c r="D453" s="162"/>
      <c r="E453" s="160"/>
      <c r="F453" s="168"/>
      <c r="G453" s="162"/>
      <c r="H453" s="162"/>
      <c r="I453" s="162"/>
    </row>
    <row r="454" spans="1:9" ht="12.75" x14ac:dyDescent="0.2">
      <c r="A454" s="168"/>
      <c r="B454" s="162"/>
      <c r="C454" s="162"/>
      <c r="D454" s="162"/>
      <c r="E454" s="160"/>
      <c r="F454" s="168"/>
      <c r="G454" s="162"/>
      <c r="H454" s="162"/>
      <c r="I454" s="162"/>
    </row>
    <row r="455" spans="1:9" ht="12.75" x14ac:dyDescent="0.2">
      <c r="A455" s="168"/>
      <c r="B455" s="162"/>
      <c r="C455" s="162"/>
      <c r="D455" s="162"/>
      <c r="E455" s="160"/>
      <c r="F455" s="168"/>
      <c r="G455" s="162"/>
      <c r="H455" s="162"/>
      <c r="I455" s="162"/>
    </row>
    <row r="456" spans="1:9" ht="12.75" x14ac:dyDescent="0.2">
      <c r="A456" s="168"/>
      <c r="B456" s="162"/>
      <c r="C456" s="162"/>
      <c r="D456" s="162"/>
      <c r="E456" s="160"/>
      <c r="F456" s="168"/>
      <c r="G456" s="162"/>
      <c r="H456" s="162"/>
      <c r="I456" s="162"/>
    </row>
    <row r="457" spans="1:9" ht="12.75" x14ac:dyDescent="0.2">
      <c r="A457" s="168"/>
      <c r="B457" s="162"/>
      <c r="C457" s="162"/>
      <c r="D457" s="162"/>
      <c r="E457" s="160"/>
      <c r="F457" s="168"/>
      <c r="G457" s="162"/>
      <c r="H457" s="162"/>
      <c r="I457" s="162"/>
    </row>
    <row r="458" spans="1:9" ht="12.75" x14ac:dyDescent="0.2">
      <c r="A458" s="168"/>
      <c r="B458" s="162"/>
      <c r="C458" s="162"/>
      <c r="D458" s="162"/>
      <c r="E458" s="160"/>
      <c r="F458" s="168"/>
      <c r="G458" s="162"/>
      <c r="H458" s="162"/>
      <c r="I458" s="162"/>
    </row>
    <row r="459" spans="1:9" ht="12.75" x14ac:dyDescent="0.2">
      <c r="A459" s="168"/>
      <c r="B459" s="162"/>
      <c r="C459" s="162"/>
      <c r="D459" s="162"/>
      <c r="E459" s="160"/>
      <c r="F459" s="168"/>
      <c r="G459" s="162"/>
      <c r="H459" s="162"/>
      <c r="I459" s="162"/>
    </row>
    <row r="460" spans="1:9" ht="12.75" x14ac:dyDescent="0.2">
      <c r="A460" s="168"/>
      <c r="B460" s="162"/>
      <c r="C460" s="162"/>
      <c r="D460" s="162"/>
      <c r="E460" s="160"/>
      <c r="F460" s="168"/>
      <c r="G460" s="162"/>
      <c r="H460" s="162"/>
      <c r="I460" s="162"/>
    </row>
    <row r="461" spans="1:9" ht="12.75" x14ac:dyDescent="0.2">
      <c r="A461" s="168"/>
      <c r="B461" s="162"/>
      <c r="C461" s="162"/>
      <c r="D461" s="162"/>
      <c r="E461" s="160"/>
      <c r="F461" s="168"/>
      <c r="G461" s="162"/>
      <c r="H461" s="162"/>
      <c r="I461" s="162"/>
    </row>
    <row r="462" spans="1:9" ht="12.75" x14ac:dyDescent="0.2">
      <c r="A462" s="168"/>
      <c r="B462" s="162"/>
      <c r="C462" s="162"/>
      <c r="D462" s="162"/>
      <c r="E462" s="160"/>
      <c r="F462" s="168"/>
      <c r="G462" s="162"/>
      <c r="H462" s="162"/>
      <c r="I462" s="162"/>
    </row>
    <row r="463" spans="1:9" ht="12.75" x14ac:dyDescent="0.2">
      <c r="A463" s="168"/>
      <c r="B463" s="162"/>
      <c r="C463" s="162"/>
      <c r="D463" s="162"/>
      <c r="E463" s="160"/>
      <c r="F463" s="168"/>
      <c r="G463" s="162"/>
      <c r="H463" s="162"/>
      <c r="I463" s="162"/>
    </row>
    <row r="464" spans="1:9" ht="12.75" x14ac:dyDescent="0.2">
      <c r="A464" s="168"/>
      <c r="B464" s="162"/>
      <c r="C464" s="162"/>
      <c r="D464" s="162"/>
      <c r="E464" s="160"/>
      <c r="F464" s="168"/>
      <c r="G464" s="162"/>
      <c r="H464" s="162"/>
      <c r="I464" s="162"/>
    </row>
    <row r="465" spans="1:9" ht="12.75" x14ac:dyDescent="0.2">
      <c r="A465" s="168"/>
      <c r="B465" s="162"/>
      <c r="C465" s="162"/>
      <c r="D465" s="162"/>
      <c r="E465" s="160"/>
      <c r="F465" s="168"/>
      <c r="G465" s="162"/>
      <c r="H465" s="162"/>
      <c r="I465" s="162"/>
    </row>
    <row r="466" spans="1:9" ht="12.75" x14ac:dyDescent="0.2">
      <c r="A466" s="168"/>
      <c r="B466" s="162"/>
      <c r="C466" s="162"/>
      <c r="D466" s="162"/>
      <c r="E466" s="160"/>
      <c r="F466" s="168"/>
      <c r="G466" s="162"/>
      <c r="H466" s="162"/>
      <c r="I466" s="162"/>
    </row>
    <row r="467" spans="1:9" ht="12.75" x14ac:dyDescent="0.2">
      <c r="A467" s="168"/>
      <c r="B467" s="162"/>
      <c r="C467" s="162"/>
      <c r="D467" s="162"/>
      <c r="E467" s="160"/>
      <c r="F467" s="168"/>
      <c r="G467" s="162"/>
      <c r="H467" s="162"/>
      <c r="I467" s="162"/>
    </row>
    <row r="468" spans="1:9" ht="12.75" x14ac:dyDescent="0.2">
      <c r="A468" s="168"/>
      <c r="B468" s="162"/>
      <c r="C468" s="162"/>
      <c r="D468" s="162"/>
      <c r="E468" s="160"/>
      <c r="F468" s="168"/>
      <c r="G468" s="162"/>
      <c r="H468" s="162"/>
      <c r="I468" s="162"/>
    </row>
    <row r="469" spans="1:9" ht="12.75" x14ac:dyDescent="0.2">
      <c r="A469" s="168"/>
      <c r="B469" s="162"/>
      <c r="C469" s="162"/>
      <c r="D469" s="162"/>
      <c r="E469" s="160"/>
      <c r="F469" s="168"/>
      <c r="G469" s="162"/>
      <c r="H469" s="162"/>
      <c r="I469" s="162"/>
    </row>
    <row r="470" spans="1:9" ht="12.75" x14ac:dyDescent="0.2">
      <c r="A470" s="168"/>
      <c r="B470" s="162"/>
      <c r="C470" s="162"/>
      <c r="D470" s="162"/>
      <c r="E470" s="160"/>
      <c r="F470" s="168"/>
      <c r="G470" s="162"/>
      <c r="H470" s="162"/>
      <c r="I470" s="162"/>
    </row>
    <row r="471" spans="1:9" ht="12.75" x14ac:dyDescent="0.2">
      <c r="A471" s="168"/>
      <c r="B471" s="162"/>
      <c r="C471" s="162"/>
      <c r="D471" s="162"/>
      <c r="E471" s="160"/>
      <c r="F471" s="168"/>
      <c r="G471" s="162"/>
      <c r="H471" s="162"/>
      <c r="I471" s="162"/>
    </row>
    <row r="472" spans="1:9" ht="12.75" x14ac:dyDescent="0.2">
      <c r="A472" s="168"/>
      <c r="B472" s="162"/>
      <c r="C472" s="162"/>
      <c r="D472" s="162"/>
      <c r="E472" s="160"/>
      <c r="F472" s="168"/>
      <c r="G472" s="162"/>
      <c r="H472" s="162"/>
      <c r="I472" s="162"/>
    </row>
    <row r="473" spans="1:9" ht="12.75" x14ac:dyDescent="0.2">
      <c r="A473" s="168"/>
      <c r="B473" s="162"/>
      <c r="C473" s="162"/>
      <c r="D473" s="162"/>
      <c r="E473" s="160"/>
      <c r="F473" s="168"/>
      <c r="G473" s="162"/>
      <c r="H473" s="162"/>
      <c r="I473" s="162"/>
    </row>
    <row r="474" spans="1:9" ht="12.75" x14ac:dyDescent="0.2">
      <c r="A474" s="168"/>
      <c r="B474" s="162"/>
      <c r="C474" s="162"/>
      <c r="D474" s="162"/>
      <c r="E474" s="160"/>
      <c r="F474" s="168"/>
      <c r="G474" s="162"/>
      <c r="H474" s="162"/>
      <c r="I474" s="162"/>
    </row>
    <row r="475" spans="1:9" ht="12.75" x14ac:dyDescent="0.2">
      <c r="A475" s="168"/>
      <c r="B475" s="162"/>
      <c r="C475" s="162"/>
      <c r="D475" s="162"/>
      <c r="E475" s="160"/>
      <c r="F475" s="168"/>
      <c r="G475" s="162"/>
      <c r="H475" s="162"/>
      <c r="I475" s="162"/>
    </row>
    <row r="476" spans="1:9" ht="12.75" x14ac:dyDescent="0.2">
      <c r="A476" s="168"/>
      <c r="B476" s="162"/>
      <c r="C476" s="162"/>
      <c r="D476" s="162"/>
      <c r="E476" s="160"/>
      <c r="F476" s="168"/>
      <c r="G476" s="162"/>
      <c r="H476" s="162"/>
      <c r="I476" s="162"/>
    </row>
    <row r="477" spans="1:9" ht="12.75" x14ac:dyDescent="0.2">
      <c r="A477" s="168"/>
      <c r="B477" s="162"/>
      <c r="C477" s="162"/>
      <c r="D477" s="162"/>
      <c r="E477" s="160"/>
      <c r="F477" s="168"/>
      <c r="G477" s="162"/>
      <c r="H477" s="162"/>
      <c r="I477" s="162"/>
    </row>
    <row r="478" spans="1:9" ht="12.75" x14ac:dyDescent="0.2">
      <c r="A478" s="168"/>
      <c r="B478" s="162"/>
      <c r="C478" s="162"/>
      <c r="D478" s="162"/>
      <c r="E478" s="160"/>
      <c r="F478" s="168"/>
      <c r="G478" s="162"/>
      <c r="H478" s="162"/>
      <c r="I478" s="162"/>
    </row>
    <row r="479" spans="1:9" ht="12.75" x14ac:dyDescent="0.2">
      <c r="A479" s="168"/>
      <c r="B479" s="162"/>
      <c r="C479" s="162"/>
      <c r="D479" s="162"/>
      <c r="E479" s="160"/>
      <c r="F479" s="168"/>
      <c r="G479" s="162"/>
      <c r="H479" s="162"/>
      <c r="I479" s="162"/>
    </row>
    <row r="480" spans="1:9" ht="12.75" x14ac:dyDescent="0.2">
      <c r="A480" s="168"/>
      <c r="B480" s="162"/>
      <c r="C480" s="162"/>
      <c r="D480" s="162"/>
      <c r="E480" s="160"/>
      <c r="F480" s="168"/>
      <c r="G480" s="162"/>
      <c r="H480" s="162"/>
      <c r="I480" s="162"/>
    </row>
    <row r="481" spans="1:9" ht="12.75" x14ac:dyDescent="0.2">
      <c r="A481" s="168"/>
      <c r="B481" s="162"/>
      <c r="C481" s="162"/>
      <c r="D481" s="162"/>
      <c r="E481" s="160"/>
      <c r="F481" s="168"/>
      <c r="G481" s="162"/>
      <c r="H481" s="162"/>
      <c r="I481" s="162"/>
    </row>
    <row r="482" spans="1:9" ht="12.75" x14ac:dyDescent="0.2">
      <c r="A482" s="168"/>
      <c r="B482" s="162"/>
      <c r="C482" s="162"/>
      <c r="D482" s="162"/>
      <c r="E482" s="160"/>
      <c r="F482" s="168"/>
      <c r="G482" s="162"/>
      <c r="H482" s="162"/>
      <c r="I482" s="162"/>
    </row>
    <row r="483" spans="1:9" ht="12.75" x14ac:dyDescent="0.2">
      <c r="A483" s="168"/>
      <c r="B483" s="162"/>
      <c r="C483" s="162"/>
      <c r="D483" s="162"/>
      <c r="E483" s="160"/>
      <c r="F483" s="168"/>
      <c r="G483" s="162"/>
      <c r="H483" s="162"/>
      <c r="I483" s="162"/>
    </row>
    <row r="484" spans="1:9" ht="12.75" x14ac:dyDescent="0.2">
      <c r="A484" s="168"/>
      <c r="B484" s="162"/>
      <c r="C484" s="162"/>
      <c r="D484" s="162"/>
      <c r="E484" s="160"/>
      <c r="F484" s="168"/>
      <c r="G484" s="162"/>
      <c r="H484" s="162"/>
      <c r="I484" s="162"/>
    </row>
    <row r="485" spans="1:9" ht="12.75" x14ac:dyDescent="0.2">
      <c r="A485" s="168"/>
      <c r="B485" s="162"/>
      <c r="C485" s="162"/>
      <c r="D485" s="162"/>
      <c r="E485" s="160"/>
      <c r="F485" s="168"/>
      <c r="G485" s="162"/>
      <c r="H485" s="162"/>
      <c r="I485" s="162"/>
    </row>
    <row r="486" spans="1:9" ht="12.75" x14ac:dyDescent="0.2">
      <c r="A486" s="168"/>
      <c r="B486" s="162"/>
      <c r="C486" s="162"/>
      <c r="D486" s="162"/>
      <c r="E486" s="160"/>
      <c r="F486" s="168"/>
      <c r="G486" s="162"/>
      <c r="H486" s="162"/>
      <c r="I486" s="162"/>
    </row>
    <row r="487" spans="1:9" ht="12.75" x14ac:dyDescent="0.2">
      <c r="A487" s="168"/>
      <c r="B487" s="162"/>
      <c r="C487" s="162"/>
      <c r="D487" s="162"/>
      <c r="E487" s="160"/>
      <c r="F487" s="168"/>
      <c r="G487" s="162"/>
      <c r="H487" s="162"/>
      <c r="I487" s="162"/>
    </row>
    <row r="488" spans="1:9" ht="12.75" x14ac:dyDescent="0.2">
      <c r="A488" s="168"/>
      <c r="B488" s="162"/>
      <c r="C488" s="162"/>
      <c r="D488" s="162"/>
      <c r="E488" s="160"/>
      <c r="F488" s="168"/>
      <c r="G488" s="162"/>
      <c r="H488" s="162"/>
      <c r="I488" s="162"/>
    </row>
    <row r="489" spans="1:9" ht="12.75" x14ac:dyDescent="0.2">
      <c r="A489" s="168"/>
      <c r="B489" s="162"/>
      <c r="C489" s="162"/>
      <c r="D489" s="162"/>
      <c r="E489" s="160"/>
      <c r="F489" s="168"/>
      <c r="G489" s="162"/>
      <c r="H489" s="162"/>
      <c r="I489" s="162"/>
    </row>
    <row r="490" spans="1:9" ht="12.75" x14ac:dyDescent="0.2">
      <c r="A490" s="168"/>
      <c r="B490" s="162"/>
      <c r="C490" s="162"/>
      <c r="D490" s="162"/>
      <c r="E490" s="160"/>
      <c r="F490" s="168"/>
      <c r="G490" s="162"/>
      <c r="H490" s="162"/>
      <c r="I490" s="162"/>
    </row>
    <row r="491" spans="1:9" ht="12.75" x14ac:dyDescent="0.2">
      <c r="A491" s="168"/>
      <c r="B491" s="162"/>
      <c r="C491" s="162"/>
      <c r="D491" s="162"/>
      <c r="E491" s="160"/>
      <c r="F491" s="168"/>
      <c r="G491" s="162"/>
      <c r="H491" s="162"/>
      <c r="I491" s="162"/>
    </row>
    <row r="492" spans="1:9" ht="12.75" x14ac:dyDescent="0.2">
      <c r="A492" s="168"/>
      <c r="B492" s="162"/>
      <c r="C492" s="162"/>
      <c r="D492" s="162"/>
      <c r="E492" s="160"/>
      <c r="F492" s="168"/>
      <c r="G492" s="162"/>
      <c r="H492" s="162"/>
      <c r="I492" s="162"/>
    </row>
    <row r="493" spans="1:9" ht="12.75" x14ac:dyDescent="0.2">
      <c r="A493" s="168"/>
      <c r="B493" s="162"/>
      <c r="C493" s="162"/>
      <c r="D493" s="162"/>
      <c r="E493" s="160"/>
      <c r="F493" s="168"/>
      <c r="G493" s="162"/>
      <c r="H493" s="162"/>
      <c r="I493" s="162"/>
    </row>
    <row r="494" spans="1:9" ht="12.75" x14ac:dyDescent="0.2">
      <c r="A494" s="168"/>
      <c r="B494" s="162"/>
      <c r="C494" s="162"/>
      <c r="D494" s="162"/>
      <c r="E494" s="160"/>
      <c r="F494" s="168"/>
      <c r="G494" s="162"/>
      <c r="H494" s="162"/>
      <c r="I494" s="162"/>
    </row>
    <row r="495" spans="1:9" ht="12.75" x14ac:dyDescent="0.2">
      <c r="A495" s="168"/>
      <c r="B495" s="162"/>
      <c r="C495" s="162"/>
      <c r="D495" s="162"/>
      <c r="E495" s="160"/>
      <c r="F495" s="168"/>
      <c r="G495" s="162"/>
      <c r="H495" s="162"/>
      <c r="I495" s="162"/>
    </row>
    <row r="496" spans="1:9" ht="12.75" x14ac:dyDescent="0.2">
      <c r="A496" s="168"/>
      <c r="B496" s="162"/>
      <c r="C496" s="162"/>
      <c r="D496" s="162"/>
      <c r="E496" s="160"/>
      <c r="F496" s="168"/>
      <c r="G496" s="162"/>
      <c r="H496" s="162"/>
      <c r="I496" s="162"/>
    </row>
    <row r="497" spans="1:9" ht="12.75" x14ac:dyDescent="0.2">
      <c r="A497" s="168"/>
      <c r="B497" s="162"/>
      <c r="C497" s="162"/>
      <c r="D497" s="162"/>
      <c r="E497" s="160"/>
      <c r="F497" s="168"/>
      <c r="G497" s="162"/>
      <c r="H497" s="162"/>
      <c r="I497" s="162"/>
    </row>
    <row r="498" spans="1:9" ht="12.75" x14ac:dyDescent="0.2">
      <c r="A498" s="168"/>
      <c r="B498" s="162"/>
      <c r="C498" s="162"/>
      <c r="D498" s="162"/>
      <c r="E498" s="160"/>
      <c r="F498" s="168"/>
      <c r="G498" s="162"/>
      <c r="H498" s="162"/>
      <c r="I498" s="162"/>
    </row>
    <row r="499" spans="1:9" ht="12.75" x14ac:dyDescent="0.2">
      <c r="A499" s="168"/>
      <c r="B499" s="162"/>
      <c r="C499" s="162"/>
      <c r="D499" s="162"/>
      <c r="E499" s="160"/>
      <c r="F499" s="168"/>
      <c r="G499" s="162"/>
      <c r="H499" s="162"/>
      <c r="I499" s="162"/>
    </row>
    <row r="500" spans="1:9" ht="12.75" x14ac:dyDescent="0.2">
      <c r="A500" s="168"/>
      <c r="B500" s="162"/>
      <c r="C500" s="162"/>
      <c r="D500" s="162"/>
      <c r="E500" s="160"/>
      <c r="F500" s="168"/>
      <c r="G500" s="162"/>
      <c r="H500" s="162"/>
      <c r="I500" s="162"/>
    </row>
    <row r="501" spans="1:9" ht="12.75" x14ac:dyDescent="0.2">
      <c r="A501" s="168"/>
      <c r="B501" s="162"/>
      <c r="C501" s="162"/>
      <c r="D501" s="162"/>
      <c r="E501" s="160"/>
      <c r="F501" s="168"/>
      <c r="G501" s="162"/>
      <c r="H501" s="162"/>
      <c r="I501" s="162"/>
    </row>
    <row r="502" spans="1:9" ht="12.75" x14ac:dyDescent="0.2">
      <c r="A502" s="168"/>
      <c r="B502" s="162"/>
      <c r="C502" s="162"/>
      <c r="D502" s="162"/>
      <c r="E502" s="160"/>
      <c r="F502" s="168"/>
      <c r="G502" s="162"/>
      <c r="H502" s="162"/>
      <c r="I502" s="162"/>
    </row>
    <row r="503" spans="1:9" ht="12.75" x14ac:dyDescent="0.2">
      <c r="A503" s="168"/>
      <c r="B503" s="162"/>
      <c r="C503" s="162"/>
      <c r="D503" s="162"/>
      <c r="E503" s="160"/>
      <c r="F503" s="168"/>
      <c r="G503" s="162"/>
      <c r="H503" s="162"/>
      <c r="I503" s="162"/>
    </row>
    <row r="504" spans="1:9" ht="12.75" x14ac:dyDescent="0.2">
      <c r="A504" s="168"/>
      <c r="B504" s="162"/>
      <c r="C504" s="162"/>
      <c r="D504" s="162"/>
      <c r="E504" s="160"/>
      <c r="F504" s="168"/>
      <c r="G504" s="162"/>
      <c r="H504" s="162"/>
      <c r="I504" s="162"/>
    </row>
    <row r="505" spans="1:9" ht="12.75" x14ac:dyDescent="0.2">
      <c r="A505" s="168"/>
      <c r="B505" s="162"/>
      <c r="C505" s="162"/>
      <c r="D505" s="162"/>
      <c r="E505" s="160"/>
      <c r="F505" s="168"/>
      <c r="G505" s="162"/>
      <c r="H505" s="162"/>
      <c r="I505" s="162"/>
    </row>
    <row r="506" spans="1:9" ht="12.75" x14ac:dyDescent="0.2">
      <c r="A506" s="168"/>
      <c r="B506" s="162"/>
      <c r="C506" s="162"/>
      <c r="D506" s="162"/>
      <c r="E506" s="160"/>
      <c r="F506" s="168"/>
      <c r="G506" s="162"/>
      <c r="H506" s="162"/>
      <c r="I506" s="162"/>
    </row>
    <row r="507" spans="1:9" ht="12.75" x14ac:dyDescent="0.2">
      <c r="A507" s="168"/>
      <c r="B507" s="162"/>
      <c r="C507" s="162"/>
      <c r="D507" s="162"/>
      <c r="E507" s="160"/>
      <c r="F507" s="168"/>
      <c r="G507" s="162"/>
      <c r="H507" s="162"/>
      <c r="I507" s="162"/>
    </row>
    <row r="508" spans="1:9" ht="12.75" x14ac:dyDescent="0.2">
      <c r="A508" s="168"/>
      <c r="B508" s="162"/>
      <c r="C508" s="162"/>
      <c r="D508" s="162"/>
      <c r="E508" s="160"/>
      <c r="F508" s="168"/>
      <c r="G508" s="162"/>
      <c r="H508" s="162"/>
      <c r="I508" s="162"/>
    </row>
    <row r="509" spans="1:9" ht="12.75" x14ac:dyDescent="0.2">
      <c r="A509" s="168"/>
      <c r="B509" s="162"/>
      <c r="C509" s="162"/>
      <c r="D509" s="162"/>
      <c r="E509" s="160"/>
      <c r="F509" s="168"/>
      <c r="G509" s="162"/>
      <c r="H509" s="162"/>
      <c r="I509" s="162"/>
    </row>
    <row r="510" spans="1:9" ht="12.75" x14ac:dyDescent="0.2">
      <c r="A510" s="168"/>
      <c r="B510" s="162"/>
      <c r="C510" s="162"/>
      <c r="D510" s="162"/>
      <c r="E510" s="160"/>
      <c r="F510" s="168"/>
      <c r="G510" s="162"/>
      <c r="H510" s="162"/>
      <c r="I510" s="162"/>
    </row>
    <row r="511" spans="1:9" ht="12.75" x14ac:dyDescent="0.2">
      <c r="A511" s="168"/>
      <c r="B511" s="162"/>
      <c r="C511" s="162"/>
      <c r="D511" s="162"/>
      <c r="E511" s="160"/>
      <c r="F511" s="168"/>
      <c r="G511" s="162"/>
      <c r="H511" s="162"/>
      <c r="I511" s="162"/>
    </row>
    <row r="512" spans="1:9" ht="12.75" x14ac:dyDescent="0.2">
      <c r="A512" s="168"/>
      <c r="B512" s="162"/>
      <c r="C512" s="162"/>
      <c r="D512" s="162"/>
      <c r="E512" s="160"/>
      <c r="F512" s="168"/>
      <c r="G512" s="162"/>
      <c r="H512" s="162"/>
      <c r="I512" s="162"/>
    </row>
    <row r="513" spans="1:9" ht="12.75" x14ac:dyDescent="0.2">
      <c r="A513" s="168"/>
      <c r="B513" s="162"/>
      <c r="C513" s="162"/>
      <c r="D513" s="162"/>
      <c r="E513" s="160"/>
      <c r="F513" s="168"/>
      <c r="G513" s="162"/>
      <c r="H513" s="162"/>
      <c r="I513" s="162"/>
    </row>
    <row r="514" spans="1:9" ht="12.75" x14ac:dyDescent="0.2">
      <c r="A514" s="168"/>
      <c r="B514" s="162"/>
      <c r="C514" s="162"/>
      <c r="D514" s="162"/>
      <c r="E514" s="160"/>
      <c r="F514" s="168"/>
      <c r="G514" s="162"/>
      <c r="H514" s="162"/>
      <c r="I514" s="162"/>
    </row>
    <row r="515" spans="1:9" ht="12.75" x14ac:dyDescent="0.2">
      <c r="A515" s="168"/>
      <c r="B515" s="162"/>
      <c r="C515" s="162"/>
      <c r="D515" s="162"/>
      <c r="E515" s="160"/>
      <c r="F515" s="168"/>
      <c r="G515" s="162"/>
      <c r="H515" s="162"/>
      <c r="I515" s="162"/>
    </row>
    <row r="516" spans="1:9" ht="12.75" x14ac:dyDescent="0.2">
      <c r="A516" s="168"/>
      <c r="B516" s="162"/>
      <c r="C516" s="162"/>
      <c r="D516" s="162"/>
      <c r="E516" s="160"/>
      <c r="F516" s="168"/>
      <c r="G516" s="162"/>
      <c r="H516" s="162"/>
      <c r="I516" s="162"/>
    </row>
    <row r="517" spans="1:9" ht="12.75" x14ac:dyDescent="0.2">
      <c r="A517" s="168"/>
      <c r="B517" s="162"/>
      <c r="C517" s="162"/>
      <c r="D517" s="162"/>
      <c r="E517" s="160"/>
      <c r="F517" s="168"/>
      <c r="G517" s="162"/>
      <c r="H517" s="162"/>
      <c r="I517" s="162"/>
    </row>
    <row r="518" spans="1:9" ht="12.75" x14ac:dyDescent="0.2">
      <c r="A518" s="168"/>
      <c r="B518" s="162"/>
      <c r="C518" s="162"/>
      <c r="D518" s="162"/>
      <c r="E518" s="160"/>
      <c r="F518" s="168"/>
      <c r="G518" s="162"/>
      <c r="H518" s="162"/>
      <c r="I518" s="162"/>
    </row>
    <row r="519" spans="1:9" ht="12.75" x14ac:dyDescent="0.2">
      <c r="A519" s="168"/>
      <c r="B519" s="162"/>
      <c r="C519" s="162"/>
      <c r="D519" s="162"/>
      <c r="E519" s="160"/>
      <c r="F519" s="168"/>
      <c r="G519" s="162"/>
      <c r="H519" s="162"/>
      <c r="I519" s="162"/>
    </row>
    <row r="520" spans="1:9" ht="12.75" x14ac:dyDescent="0.2">
      <c r="A520" s="168"/>
      <c r="B520" s="162"/>
      <c r="C520" s="162"/>
      <c r="D520" s="162"/>
      <c r="E520" s="160"/>
      <c r="F520" s="168"/>
      <c r="G520" s="162"/>
      <c r="H520" s="162"/>
      <c r="I520" s="162"/>
    </row>
    <row r="521" spans="1:9" ht="12.75" x14ac:dyDescent="0.2">
      <c r="A521" s="168"/>
      <c r="B521" s="162"/>
      <c r="C521" s="162"/>
      <c r="D521" s="162"/>
      <c r="E521" s="160"/>
      <c r="F521" s="168"/>
      <c r="G521" s="162"/>
      <c r="H521" s="162"/>
      <c r="I521" s="162"/>
    </row>
    <row r="522" spans="1:9" ht="12.75" x14ac:dyDescent="0.2">
      <c r="A522" s="168"/>
      <c r="B522" s="162"/>
      <c r="C522" s="162"/>
      <c r="D522" s="162"/>
      <c r="E522" s="160"/>
      <c r="F522" s="168"/>
      <c r="G522" s="162"/>
      <c r="H522" s="162"/>
      <c r="I522" s="162"/>
    </row>
    <row r="523" spans="1:9" ht="12.75" x14ac:dyDescent="0.2">
      <c r="A523" s="168"/>
      <c r="B523" s="162"/>
      <c r="C523" s="162"/>
      <c r="D523" s="162"/>
      <c r="E523" s="160"/>
      <c r="F523" s="168"/>
      <c r="G523" s="162"/>
      <c r="H523" s="162"/>
      <c r="I523" s="162"/>
    </row>
    <row r="524" spans="1:9" ht="12.75" x14ac:dyDescent="0.2">
      <c r="A524" s="168"/>
      <c r="B524" s="162"/>
      <c r="C524" s="162"/>
      <c r="D524" s="162"/>
      <c r="E524" s="160"/>
      <c r="F524" s="168"/>
      <c r="G524" s="162"/>
      <c r="H524" s="162"/>
      <c r="I524" s="162"/>
    </row>
    <row r="525" spans="1:9" ht="12.75" x14ac:dyDescent="0.2">
      <c r="A525" s="168"/>
      <c r="B525" s="162"/>
      <c r="C525" s="162"/>
      <c r="D525" s="162"/>
      <c r="E525" s="160"/>
      <c r="F525" s="168"/>
      <c r="G525" s="162"/>
      <c r="H525" s="162"/>
      <c r="I525" s="162"/>
    </row>
    <row r="526" spans="1:9" ht="12.75" x14ac:dyDescent="0.2">
      <c r="A526" s="168"/>
      <c r="B526" s="162"/>
      <c r="C526" s="162"/>
      <c r="D526" s="162"/>
      <c r="E526" s="160"/>
      <c r="F526" s="168"/>
      <c r="G526" s="162"/>
      <c r="H526" s="162"/>
      <c r="I526" s="162"/>
    </row>
    <row r="527" spans="1:9" ht="12.75" x14ac:dyDescent="0.2">
      <c r="A527" s="168"/>
      <c r="B527" s="162"/>
      <c r="C527" s="162"/>
      <c r="D527" s="162"/>
      <c r="E527" s="160"/>
      <c r="F527" s="168"/>
      <c r="G527" s="162"/>
      <c r="H527" s="162"/>
      <c r="I527" s="162"/>
    </row>
    <row r="528" spans="1:9" ht="12.75" x14ac:dyDescent="0.2">
      <c r="A528" s="168"/>
      <c r="B528" s="162"/>
      <c r="C528" s="162"/>
      <c r="D528" s="162"/>
      <c r="E528" s="160"/>
      <c r="F528" s="168"/>
      <c r="G528" s="162"/>
      <c r="H528" s="162"/>
      <c r="I528" s="162"/>
    </row>
    <row r="529" spans="1:9" ht="12.75" x14ac:dyDescent="0.2">
      <c r="A529" s="168"/>
      <c r="B529" s="162"/>
      <c r="C529" s="162"/>
      <c r="D529" s="162"/>
      <c r="E529" s="160"/>
      <c r="F529" s="168"/>
      <c r="G529" s="162"/>
      <c r="H529" s="162"/>
      <c r="I529" s="162"/>
    </row>
    <row r="530" spans="1:9" ht="12.75" x14ac:dyDescent="0.2">
      <c r="A530" s="168"/>
      <c r="B530" s="162"/>
      <c r="C530" s="162"/>
      <c r="D530" s="162"/>
      <c r="E530" s="160"/>
      <c r="F530" s="168"/>
      <c r="G530" s="162"/>
      <c r="H530" s="162"/>
      <c r="I530" s="162"/>
    </row>
    <row r="531" spans="1:9" ht="12.75" x14ac:dyDescent="0.2">
      <c r="A531" s="168"/>
      <c r="B531" s="162"/>
      <c r="C531" s="162"/>
      <c r="D531" s="162"/>
      <c r="E531" s="160"/>
      <c r="F531" s="168"/>
      <c r="G531" s="162"/>
      <c r="H531" s="162"/>
      <c r="I531" s="162"/>
    </row>
    <row r="532" spans="1:9" ht="12.75" x14ac:dyDescent="0.2">
      <c r="A532" s="168"/>
      <c r="B532" s="162"/>
      <c r="C532" s="162"/>
      <c r="D532" s="162"/>
      <c r="E532" s="160"/>
      <c r="F532" s="168"/>
      <c r="G532" s="162"/>
      <c r="H532" s="162"/>
      <c r="I532" s="162"/>
    </row>
    <row r="533" spans="1:9" ht="12.75" x14ac:dyDescent="0.2">
      <c r="A533" s="168"/>
      <c r="B533" s="162"/>
      <c r="C533" s="162"/>
      <c r="D533" s="162"/>
      <c r="E533" s="160"/>
      <c r="F533" s="168"/>
      <c r="G533" s="162"/>
      <c r="H533" s="162"/>
      <c r="I533" s="162"/>
    </row>
    <row r="534" spans="1:9" ht="12.75" x14ac:dyDescent="0.2">
      <c r="A534" s="168"/>
      <c r="B534" s="162"/>
      <c r="C534" s="162"/>
      <c r="D534" s="162"/>
      <c r="E534" s="160"/>
      <c r="F534" s="168"/>
      <c r="G534" s="162"/>
      <c r="H534" s="162"/>
      <c r="I534" s="162"/>
    </row>
    <row r="535" spans="1:9" ht="12.75" x14ac:dyDescent="0.2">
      <c r="A535" s="168"/>
      <c r="B535" s="162"/>
      <c r="C535" s="162"/>
      <c r="D535" s="162"/>
      <c r="E535" s="160"/>
      <c r="F535" s="168"/>
      <c r="G535" s="162"/>
      <c r="H535" s="162"/>
      <c r="I535" s="162"/>
    </row>
    <row r="536" spans="1:9" ht="12.75" x14ac:dyDescent="0.2">
      <c r="A536" s="168"/>
      <c r="B536" s="162"/>
      <c r="C536" s="162"/>
      <c r="D536" s="162"/>
      <c r="E536" s="160"/>
      <c r="F536" s="168"/>
      <c r="G536" s="162"/>
      <c r="H536" s="162"/>
      <c r="I536" s="162"/>
    </row>
    <row r="537" spans="1:9" ht="12.75" x14ac:dyDescent="0.2">
      <c r="A537" s="168"/>
      <c r="B537" s="162"/>
      <c r="C537" s="162"/>
      <c r="D537" s="162"/>
      <c r="E537" s="160"/>
      <c r="F537" s="168"/>
      <c r="G537" s="162"/>
      <c r="H537" s="162"/>
      <c r="I537" s="162"/>
    </row>
    <row r="538" spans="1:9" ht="12.75" x14ac:dyDescent="0.2">
      <c r="A538" s="168"/>
      <c r="B538" s="162"/>
      <c r="C538" s="162"/>
      <c r="D538" s="162"/>
      <c r="E538" s="160"/>
      <c r="F538" s="168"/>
      <c r="G538" s="162"/>
      <c r="H538" s="162"/>
      <c r="I538" s="162"/>
    </row>
    <row r="539" spans="1:9" ht="12.75" x14ac:dyDescent="0.2">
      <c r="A539" s="168"/>
      <c r="B539" s="162"/>
      <c r="C539" s="162"/>
      <c r="D539" s="162"/>
      <c r="E539" s="160"/>
      <c r="F539" s="168"/>
      <c r="G539" s="162"/>
      <c r="H539" s="162"/>
      <c r="I539" s="162"/>
    </row>
    <row r="540" spans="1:9" ht="12.75" x14ac:dyDescent="0.2">
      <c r="A540" s="168"/>
      <c r="B540" s="162"/>
      <c r="C540" s="162"/>
      <c r="D540" s="162"/>
      <c r="E540" s="160"/>
      <c r="F540" s="168"/>
      <c r="G540" s="162"/>
      <c r="H540" s="162"/>
      <c r="I540" s="162"/>
    </row>
    <row r="541" spans="1:9" ht="12.75" x14ac:dyDescent="0.2">
      <c r="A541" s="168"/>
      <c r="B541" s="162"/>
      <c r="C541" s="162"/>
      <c r="D541" s="162"/>
      <c r="E541" s="160"/>
      <c r="F541" s="168"/>
      <c r="G541" s="162"/>
      <c r="H541" s="162"/>
      <c r="I541" s="162"/>
    </row>
    <row r="542" spans="1:9" ht="12.75" x14ac:dyDescent="0.2">
      <c r="A542" s="168"/>
      <c r="B542" s="162"/>
      <c r="C542" s="162"/>
      <c r="D542" s="162"/>
      <c r="E542" s="160"/>
      <c r="F542" s="168"/>
      <c r="G542" s="162"/>
      <c r="H542" s="162"/>
      <c r="I542" s="162"/>
    </row>
    <row r="543" spans="1:9" ht="12.75" x14ac:dyDescent="0.2">
      <c r="A543" s="168"/>
      <c r="B543" s="162"/>
      <c r="C543" s="162"/>
      <c r="D543" s="162"/>
      <c r="E543" s="160"/>
      <c r="F543" s="168"/>
      <c r="G543" s="162"/>
      <c r="H543" s="162"/>
      <c r="I543" s="162"/>
    </row>
    <row r="544" spans="1:9" ht="12.75" x14ac:dyDescent="0.2">
      <c r="A544" s="168"/>
      <c r="B544" s="162"/>
      <c r="C544" s="162"/>
      <c r="D544" s="162"/>
      <c r="E544" s="160"/>
      <c r="F544" s="168"/>
      <c r="G544" s="162"/>
      <c r="H544" s="162"/>
      <c r="I544" s="162"/>
    </row>
    <row r="545" spans="1:9" ht="12.75" x14ac:dyDescent="0.2">
      <c r="A545" s="168"/>
      <c r="B545" s="162"/>
      <c r="C545" s="162"/>
      <c r="D545" s="162"/>
      <c r="E545" s="160"/>
      <c r="F545" s="168"/>
      <c r="G545" s="162"/>
      <c r="H545" s="162"/>
      <c r="I545" s="162"/>
    </row>
    <row r="546" spans="1:9" ht="12.75" x14ac:dyDescent="0.2">
      <c r="A546" s="168"/>
      <c r="B546" s="162"/>
      <c r="C546" s="162"/>
      <c r="D546" s="162"/>
      <c r="E546" s="160"/>
      <c r="F546" s="168"/>
      <c r="G546" s="162"/>
      <c r="H546" s="162"/>
      <c r="I546" s="162"/>
    </row>
    <row r="547" spans="1:9" ht="12.75" x14ac:dyDescent="0.2">
      <c r="A547" s="168"/>
      <c r="B547" s="162"/>
      <c r="C547" s="162"/>
      <c r="D547" s="162"/>
      <c r="E547" s="160"/>
      <c r="F547" s="168"/>
      <c r="G547" s="162"/>
      <c r="H547" s="162"/>
      <c r="I547" s="162"/>
    </row>
    <row r="548" spans="1:9" ht="12.75" x14ac:dyDescent="0.2">
      <c r="A548" s="168"/>
      <c r="B548" s="162"/>
      <c r="C548" s="162"/>
      <c r="D548" s="162"/>
      <c r="E548" s="160"/>
      <c r="F548" s="168"/>
      <c r="G548" s="162"/>
      <c r="H548" s="162"/>
      <c r="I548" s="162"/>
    </row>
    <row r="549" spans="1:9" ht="12.75" x14ac:dyDescent="0.2">
      <c r="A549" s="168"/>
      <c r="B549" s="162"/>
      <c r="C549" s="162"/>
      <c r="D549" s="162"/>
      <c r="E549" s="160"/>
      <c r="F549" s="168"/>
      <c r="G549" s="162"/>
      <c r="H549" s="162"/>
      <c r="I549" s="162"/>
    </row>
    <row r="550" spans="1:9" ht="12.75" x14ac:dyDescent="0.2">
      <c r="A550" s="168"/>
      <c r="B550" s="162"/>
      <c r="C550" s="162"/>
      <c r="D550" s="162"/>
      <c r="E550" s="160"/>
      <c r="F550" s="168"/>
      <c r="G550" s="162"/>
      <c r="H550" s="162"/>
      <c r="I550" s="162"/>
    </row>
    <row r="551" spans="1:9" ht="12.75" x14ac:dyDescent="0.2">
      <c r="A551" s="168"/>
      <c r="B551" s="162"/>
      <c r="C551" s="162"/>
      <c r="D551" s="162"/>
      <c r="E551" s="160"/>
      <c r="F551" s="168"/>
      <c r="G551" s="162"/>
      <c r="H551" s="162"/>
      <c r="I551" s="162"/>
    </row>
    <row r="552" spans="1:9" ht="12.75" x14ac:dyDescent="0.2">
      <c r="A552" s="168"/>
      <c r="B552" s="162"/>
      <c r="C552" s="162"/>
      <c r="D552" s="162"/>
      <c r="E552" s="160"/>
      <c r="F552" s="168"/>
      <c r="G552" s="162"/>
      <c r="H552" s="162"/>
      <c r="I552" s="162"/>
    </row>
    <row r="553" spans="1:9" ht="12.75" x14ac:dyDescent="0.2">
      <c r="A553" s="168"/>
      <c r="B553" s="162"/>
      <c r="C553" s="162"/>
      <c r="D553" s="162"/>
      <c r="E553" s="160"/>
      <c r="F553" s="168"/>
      <c r="G553" s="162"/>
      <c r="H553" s="162"/>
      <c r="I553" s="162"/>
    </row>
    <row r="554" spans="1:9" ht="12.75" x14ac:dyDescent="0.2">
      <c r="A554" s="168"/>
      <c r="B554" s="162"/>
      <c r="C554" s="162"/>
      <c r="D554" s="162"/>
      <c r="E554" s="160"/>
      <c r="F554" s="168"/>
      <c r="G554" s="162"/>
      <c r="H554" s="162"/>
      <c r="I554" s="162"/>
    </row>
    <row r="555" spans="1:9" ht="12.75" x14ac:dyDescent="0.2">
      <c r="A555" s="168"/>
      <c r="B555" s="162"/>
      <c r="C555" s="162"/>
      <c r="D555" s="162"/>
      <c r="E555" s="160"/>
      <c r="F555" s="168"/>
      <c r="G555" s="162"/>
      <c r="H555" s="162"/>
      <c r="I555" s="162"/>
    </row>
    <row r="556" spans="1:9" ht="12.75" x14ac:dyDescent="0.2">
      <c r="A556" s="168"/>
      <c r="B556" s="162"/>
      <c r="C556" s="162"/>
      <c r="D556" s="162"/>
      <c r="E556" s="160"/>
      <c r="F556" s="168"/>
      <c r="G556" s="162"/>
      <c r="H556" s="162"/>
      <c r="I556" s="162"/>
    </row>
    <row r="557" spans="1:9" ht="12.75" x14ac:dyDescent="0.2">
      <c r="A557" s="168"/>
      <c r="B557" s="162"/>
      <c r="C557" s="162"/>
      <c r="D557" s="162"/>
      <c r="E557" s="160"/>
      <c r="F557" s="168"/>
      <c r="G557" s="162"/>
      <c r="H557" s="162"/>
      <c r="I557" s="162"/>
    </row>
    <row r="558" spans="1:9" ht="12.75" x14ac:dyDescent="0.2">
      <c r="A558" s="168"/>
      <c r="B558" s="162"/>
      <c r="C558" s="162"/>
      <c r="D558" s="162"/>
      <c r="E558" s="160"/>
      <c r="F558" s="168"/>
      <c r="G558" s="162"/>
      <c r="H558" s="162"/>
      <c r="I558" s="162"/>
    </row>
    <row r="559" spans="1:9" ht="12.75" x14ac:dyDescent="0.2">
      <c r="A559" s="168"/>
      <c r="B559" s="162"/>
      <c r="C559" s="162"/>
      <c r="D559" s="162"/>
      <c r="E559" s="160"/>
      <c r="F559" s="168"/>
      <c r="G559" s="162"/>
      <c r="H559" s="162"/>
      <c r="I559" s="162"/>
    </row>
    <row r="560" spans="1:9" ht="12.75" x14ac:dyDescent="0.2">
      <c r="A560" s="168"/>
      <c r="B560" s="162"/>
      <c r="C560" s="162"/>
      <c r="D560" s="162"/>
      <c r="E560" s="160"/>
      <c r="F560" s="168"/>
      <c r="G560" s="162"/>
      <c r="H560" s="162"/>
      <c r="I560" s="162"/>
    </row>
    <row r="561" spans="1:9" ht="12.75" x14ac:dyDescent="0.2">
      <c r="A561" s="168"/>
      <c r="B561" s="162"/>
      <c r="C561" s="162"/>
      <c r="D561" s="162"/>
      <c r="E561" s="160"/>
      <c r="F561" s="168"/>
      <c r="G561" s="162"/>
      <c r="H561" s="162"/>
      <c r="I561" s="162"/>
    </row>
    <row r="562" spans="1:9" ht="12.75" x14ac:dyDescent="0.2">
      <c r="A562" s="168"/>
      <c r="B562" s="162"/>
      <c r="C562" s="162"/>
      <c r="D562" s="162"/>
      <c r="E562" s="160"/>
      <c r="F562" s="168"/>
      <c r="G562" s="162"/>
      <c r="H562" s="162"/>
      <c r="I562" s="162"/>
    </row>
    <row r="563" spans="1:9" ht="12.75" x14ac:dyDescent="0.2">
      <c r="A563" s="168"/>
      <c r="B563" s="162"/>
      <c r="C563" s="162"/>
      <c r="D563" s="162"/>
      <c r="E563" s="160"/>
      <c r="F563" s="168"/>
      <c r="G563" s="162"/>
      <c r="H563" s="162"/>
      <c r="I563" s="162"/>
    </row>
    <row r="564" spans="1:9" ht="12.75" x14ac:dyDescent="0.2">
      <c r="A564" s="168"/>
      <c r="B564" s="162"/>
      <c r="C564" s="162"/>
      <c r="D564" s="162"/>
      <c r="E564" s="160"/>
      <c r="F564" s="168"/>
      <c r="G564" s="162"/>
      <c r="H564" s="162"/>
      <c r="I564" s="162"/>
    </row>
    <row r="565" spans="1:9" ht="12.75" x14ac:dyDescent="0.2">
      <c r="A565" s="168"/>
      <c r="B565" s="162"/>
      <c r="C565" s="162"/>
      <c r="D565" s="162"/>
      <c r="E565" s="160"/>
      <c r="F565" s="168"/>
      <c r="G565" s="162"/>
      <c r="H565" s="162"/>
      <c r="I565" s="162"/>
    </row>
    <row r="566" spans="1:9" ht="12.75" x14ac:dyDescent="0.2">
      <c r="A566" s="168"/>
      <c r="B566" s="162"/>
      <c r="C566" s="162"/>
      <c r="D566" s="162"/>
      <c r="E566" s="160"/>
      <c r="F566" s="168"/>
      <c r="G566" s="162"/>
      <c r="H566" s="162"/>
      <c r="I566" s="162"/>
    </row>
    <row r="567" spans="1:9" ht="12.75" x14ac:dyDescent="0.2">
      <c r="A567" s="168"/>
      <c r="B567" s="162"/>
      <c r="C567" s="162"/>
      <c r="D567" s="162"/>
      <c r="E567" s="160"/>
      <c r="F567" s="168"/>
      <c r="G567" s="162"/>
      <c r="H567" s="162"/>
      <c r="I567" s="162"/>
    </row>
    <row r="568" spans="1:9" ht="12.75" x14ac:dyDescent="0.2">
      <c r="A568" s="168"/>
      <c r="B568" s="162"/>
      <c r="C568" s="162"/>
      <c r="D568" s="162"/>
      <c r="E568" s="160"/>
      <c r="F568" s="168"/>
      <c r="G568" s="162"/>
      <c r="H568" s="162"/>
      <c r="I568" s="162"/>
    </row>
    <row r="569" spans="1:9" ht="12.75" x14ac:dyDescent="0.2">
      <c r="A569" s="168"/>
      <c r="B569" s="162"/>
      <c r="C569" s="162"/>
      <c r="D569" s="162"/>
      <c r="E569" s="160"/>
      <c r="F569" s="168"/>
      <c r="G569" s="162"/>
      <c r="H569" s="162"/>
      <c r="I569" s="162"/>
    </row>
    <row r="570" spans="1:9" ht="12.75" x14ac:dyDescent="0.2">
      <c r="A570" s="168"/>
      <c r="B570" s="162"/>
      <c r="C570" s="162"/>
      <c r="D570" s="162"/>
      <c r="E570" s="160"/>
      <c r="F570" s="168"/>
      <c r="G570" s="162"/>
      <c r="H570" s="162"/>
      <c r="I570" s="162"/>
    </row>
    <row r="571" spans="1:9" ht="12.75" x14ac:dyDescent="0.2">
      <c r="A571" s="168"/>
      <c r="B571" s="162"/>
      <c r="C571" s="162"/>
      <c r="D571" s="162"/>
      <c r="E571" s="160"/>
      <c r="F571" s="168"/>
      <c r="G571" s="162"/>
      <c r="H571" s="162"/>
      <c r="I571" s="162"/>
    </row>
    <row r="572" spans="1:9" ht="12.75" x14ac:dyDescent="0.2">
      <c r="A572" s="168"/>
      <c r="B572" s="162"/>
      <c r="C572" s="162"/>
      <c r="D572" s="162"/>
      <c r="E572" s="160"/>
      <c r="F572" s="168"/>
      <c r="G572" s="162"/>
      <c r="H572" s="162"/>
      <c r="I572" s="162"/>
    </row>
    <row r="573" spans="1:9" ht="12.75" x14ac:dyDescent="0.2">
      <c r="A573" s="168"/>
      <c r="B573" s="162"/>
      <c r="C573" s="162"/>
      <c r="D573" s="162"/>
      <c r="E573" s="160"/>
      <c r="F573" s="168"/>
      <c r="G573" s="162"/>
      <c r="H573" s="162"/>
      <c r="I573" s="162"/>
    </row>
    <row r="574" spans="1:9" ht="12.75" x14ac:dyDescent="0.2">
      <c r="A574" s="168"/>
      <c r="B574" s="162"/>
      <c r="C574" s="162"/>
      <c r="D574" s="162"/>
      <c r="E574" s="160"/>
      <c r="F574" s="168"/>
      <c r="G574" s="162"/>
      <c r="H574" s="162"/>
      <c r="I574" s="162"/>
    </row>
    <row r="575" spans="1:9" ht="12.75" x14ac:dyDescent="0.2">
      <c r="A575" s="168"/>
      <c r="B575" s="162"/>
      <c r="C575" s="162"/>
      <c r="D575" s="162"/>
      <c r="E575" s="160"/>
      <c r="F575" s="168"/>
      <c r="G575" s="162"/>
      <c r="H575" s="162"/>
      <c r="I575" s="162"/>
    </row>
    <row r="576" spans="1:9" ht="12.75" x14ac:dyDescent="0.2">
      <c r="A576" s="168"/>
      <c r="B576" s="162"/>
      <c r="C576" s="162"/>
      <c r="D576" s="162"/>
      <c r="E576" s="160"/>
      <c r="F576" s="168"/>
      <c r="G576" s="162"/>
      <c r="H576" s="162"/>
      <c r="I576" s="162"/>
    </row>
    <row r="577" spans="1:9" ht="12.75" x14ac:dyDescent="0.2">
      <c r="A577" s="168"/>
      <c r="B577" s="162"/>
      <c r="C577" s="162"/>
      <c r="D577" s="162"/>
      <c r="E577" s="160"/>
      <c r="F577" s="168"/>
      <c r="G577" s="162"/>
      <c r="H577" s="162"/>
      <c r="I577" s="162"/>
    </row>
    <row r="578" spans="1:9" ht="12.75" x14ac:dyDescent="0.2">
      <c r="A578" s="168"/>
      <c r="B578" s="162"/>
      <c r="C578" s="162"/>
      <c r="D578" s="162"/>
      <c r="E578" s="160"/>
      <c r="F578" s="168"/>
      <c r="G578" s="162"/>
      <c r="H578" s="162"/>
      <c r="I578" s="162"/>
    </row>
    <row r="579" spans="1:9" ht="12.75" x14ac:dyDescent="0.2">
      <c r="A579" s="168"/>
      <c r="B579" s="162"/>
      <c r="C579" s="162"/>
      <c r="D579" s="162"/>
      <c r="E579" s="160"/>
      <c r="F579" s="168"/>
      <c r="G579" s="162"/>
      <c r="H579" s="162"/>
      <c r="I579" s="162"/>
    </row>
    <row r="580" spans="1:9" ht="12.75" x14ac:dyDescent="0.2">
      <c r="A580" s="168"/>
      <c r="B580" s="162"/>
      <c r="C580" s="162"/>
      <c r="D580" s="162"/>
      <c r="E580" s="160"/>
      <c r="F580" s="168"/>
      <c r="G580" s="162"/>
      <c r="H580" s="162"/>
      <c r="I580" s="162"/>
    </row>
    <row r="581" spans="1:9" ht="12.75" x14ac:dyDescent="0.2">
      <c r="A581" s="168"/>
      <c r="B581" s="162"/>
      <c r="C581" s="162"/>
      <c r="D581" s="162"/>
      <c r="E581" s="160"/>
      <c r="F581" s="168"/>
      <c r="G581" s="162"/>
      <c r="H581" s="162"/>
      <c r="I581" s="162"/>
    </row>
    <row r="582" spans="1:9" ht="12.75" x14ac:dyDescent="0.2">
      <c r="A582" s="168"/>
      <c r="B582" s="162"/>
      <c r="C582" s="162"/>
      <c r="D582" s="162"/>
      <c r="E582" s="160"/>
      <c r="F582" s="168"/>
      <c r="G582" s="162"/>
      <c r="H582" s="162"/>
      <c r="I582" s="162"/>
    </row>
    <row r="583" spans="1:9" ht="12.75" x14ac:dyDescent="0.2">
      <c r="A583" s="168"/>
      <c r="B583" s="162"/>
      <c r="C583" s="162"/>
      <c r="D583" s="162"/>
      <c r="E583" s="160"/>
      <c r="F583" s="168"/>
      <c r="G583" s="162"/>
      <c r="H583" s="162"/>
      <c r="I583" s="162"/>
    </row>
    <row r="584" spans="1:9" ht="12.75" x14ac:dyDescent="0.2">
      <c r="A584" s="168"/>
      <c r="B584" s="162"/>
      <c r="C584" s="162"/>
      <c r="D584" s="162"/>
      <c r="E584" s="160"/>
      <c r="F584" s="168"/>
      <c r="G584" s="162"/>
      <c r="H584" s="162"/>
      <c r="I584" s="162"/>
    </row>
    <row r="585" spans="1:9" ht="12.75" x14ac:dyDescent="0.2">
      <c r="A585" s="168"/>
      <c r="B585" s="162"/>
      <c r="C585" s="162"/>
      <c r="D585" s="162"/>
      <c r="E585" s="160"/>
      <c r="F585" s="168"/>
      <c r="G585" s="162"/>
      <c r="H585" s="162"/>
      <c r="I585" s="162"/>
    </row>
    <row r="586" spans="1:9" ht="12.75" x14ac:dyDescent="0.2">
      <c r="A586" s="168"/>
      <c r="B586" s="162"/>
      <c r="C586" s="162"/>
      <c r="D586" s="162"/>
      <c r="E586" s="160"/>
      <c r="F586" s="168"/>
      <c r="G586" s="162"/>
      <c r="H586" s="162"/>
      <c r="I586" s="162"/>
    </row>
    <row r="587" spans="1:9" ht="12.75" x14ac:dyDescent="0.2">
      <c r="A587" s="168"/>
      <c r="B587" s="162"/>
      <c r="C587" s="162"/>
      <c r="D587" s="162"/>
      <c r="E587" s="160"/>
      <c r="F587" s="168"/>
      <c r="G587" s="162"/>
      <c r="H587" s="162"/>
      <c r="I587" s="162"/>
    </row>
    <row r="588" spans="1:9" ht="12.75" x14ac:dyDescent="0.2">
      <c r="A588" s="168"/>
      <c r="B588" s="162"/>
      <c r="C588" s="162"/>
      <c r="D588" s="162"/>
      <c r="E588" s="160"/>
      <c r="F588" s="168"/>
      <c r="G588" s="162"/>
      <c r="H588" s="162"/>
      <c r="I588" s="162"/>
    </row>
    <row r="589" spans="1:9" ht="12.75" x14ac:dyDescent="0.2">
      <c r="A589" s="168"/>
      <c r="B589" s="162"/>
      <c r="C589" s="162"/>
      <c r="D589" s="162"/>
      <c r="E589" s="160"/>
      <c r="F589" s="168"/>
      <c r="G589" s="162"/>
      <c r="H589" s="162"/>
      <c r="I589" s="162"/>
    </row>
    <row r="590" spans="1:9" ht="12.75" x14ac:dyDescent="0.2">
      <c r="A590" s="168"/>
      <c r="B590" s="162"/>
      <c r="C590" s="162"/>
      <c r="D590" s="162"/>
      <c r="E590" s="160"/>
      <c r="F590" s="168"/>
      <c r="G590" s="162"/>
      <c r="H590" s="162"/>
      <c r="I590" s="162"/>
    </row>
    <row r="591" spans="1:9" ht="12.75" x14ac:dyDescent="0.2">
      <c r="A591" s="168"/>
      <c r="B591" s="162"/>
      <c r="C591" s="162"/>
      <c r="D591" s="162"/>
      <c r="E591" s="160"/>
      <c r="F591" s="168"/>
      <c r="G591" s="162"/>
      <c r="H591" s="162"/>
      <c r="I591" s="162"/>
    </row>
    <row r="592" spans="1:9" ht="12.75" x14ac:dyDescent="0.2">
      <c r="A592" s="168"/>
      <c r="B592" s="162"/>
      <c r="C592" s="162"/>
      <c r="D592" s="162"/>
      <c r="E592" s="160"/>
      <c r="F592" s="168"/>
      <c r="G592" s="162"/>
      <c r="H592" s="162"/>
      <c r="I592" s="162"/>
    </row>
    <row r="593" spans="1:9" ht="12.75" x14ac:dyDescent="0.2">
      <c r="A593" s="168"/>
      <c r="B593" s="162"/>
      <c r="C593" s="162"/>
      <c r="D593" s="162"/>
      <c r="E593" s="160"/>
      <c r="F593" s="168"/>
      <c r="G593" s="162"/>
      <c r="H593" s="162"/>
      <c r="I593" s="162"/>
    </row>
    <row r="594" spans="1:9" ht="12.75" x14ac:dyDescent="0.2">
      <c r="A594" s="168"/>
      <c r="B594" s="162"/>
      <c r="C594" s="162"/>
      <c r="D594" s="162"/>
      <c r="E594" s="160"/>
      <c r="F594" s="168"/>
      <c r="G594" s="162"/>
      <c r="H594" s="162"/>
      <c r="I594" s="162"/>
    </row>
    <row r="595" spans="1:9" ht="12.75" x14ac:dyDescent="0.2">
      <c r="A595" s="168"/>
      <c r="B595" s="162"/>
      <c r="C595" s="162"/>
      <c r="D595" s="162"/>
      <c r="E595" s="160"/>
      <c r="F595" s="168"/>
      <c r="G595" s="162"/>
      <c r="H595" s="162"/>
      <c r="I595" s="162"/>
    </row>
    <row r="596" spans="1:9" ht="12.75" x14ac:dyDescent="0.2">
      <c r="A596" s="168"/>
      <c r="B596" s="162"/>
      <c r="C596" s="162"/>
      <c r="D596" s="162"/>
      <c r="E596" s="160"/>
      <c r="F596" s="168"/>
      <c r="G596" s="162"/>
      <c r="H596" s="162"/>
      <c r="I596" s="162"/>
    </row>
    <row r="597" spans="1:9" ht="12.75" x14ac:dyDescent="0.2">
      <c r="A597" s="168"/>
      <c r="B597" s="162"/>
      <c r="C597" s="162"/>
      <c r="D597" s="162"/>
      <c r="E597" s="160"/>
      <c r="F597" s="168"/>
      <c r="G597" s="162"/>
      <c r="H597" s="162"/>
      <c r="I597" s="162"/>
    </row>
    <row r="598" spans="1:9" ht="12.75" x14ac:dyDescent="0.2">
      <c r="A598" s="168"/>
      <c r="B598" s="162"/>
      <c r="C598" s="162"/>
      <c r="D598" s="162"/>
      <c r="E598" s="160"/>
      <c r="F598" s="168"/>
      <c r="G598" s="162"/>
      <c r="H598" s="162"/>
      <c r="I598" s="162"/>
    </row>
    <row r="599" spans="1:9" ht="12.75" x14ac:dyDescent="0.2">
      <c r="A599" s="168"/>
      <c r="B599" s="162"/>
      <c r="C599" s="162"/>
      <c r="D599" s="162"/>
      <c r="E599" s="160"/>
      <c r="F599" s="168"/>
      <c r="G599" s="162"/>
      <c r="H599" s="162"/>
      <c r="I599" s="162"/>
    </row>
    <row r="600" spans="1:9" ht="12.75" x14ac:dyDescent="0.2">
      <c r="A600" s="168"/>
      <c r="B600" s="162"/>
      <c r="C600" s="162"/>
      <c r="D600" s="162"/>
      <c r="E600" s="160"/>
      <c r="F600" s="168"/>
      <c r="G600" s="162"/>
      <c r="H600" s="162"/>
      <c r="I600" s="162"/>
    </row>
    <row r="601" spans="1:9" ht="12.75" x14ac:dyDescent="0.2">
      <c r="A601" s="168"/>
      <c r="B601" s="162"/>
      <c r="C601" s="162"/>
      <c r="D601" s="162"/>
      <c r="E601" s="160"/>
      <c r="F601" s="168"/>
      <c r="G601" s="162"/>
      <c r="H601" s="162"/>
      <c r="I601" s="162"/>
    </row>
    <row r="602" spans="1:9" ht="12.75" x14ac:dyDescent="0.2">
      <c r="A602" s="168"/>
      <c r="B602" s="162"/>
      <c r="C602" s="162"/>
      <c r="D602" s="162"/>
      <c r="E602" s="160"/>
      <c r="F602" s="168"/>
      <c r="G602" s="162"/>
      <c r="H602" s="162"/>
      <c r="I602" s="162"/>
    </row>
    <row r="603" spans="1:9" ht="12.75" x14ac:dyDescent="0.2">
      <c r="A603" s="168"/>
      <c r="B603" s="162"/>
      <c r="C603" s="162"/>
      <c r="D603" s="162"/>
      <c r="E603" s="160"/>
      <c r="F603" s="168"/>
      <c r="G603" s="162"/>
      <c r="H603" s="162"/>
      <c r="I603" s="162"/>
    </row>
    <row r="604" spans="1:9" ht="12.75" x14ac:dyDescent="0.2">
      <c r="A604" s="168"/>
      <c r="B604" s="162"/>
      <c r="C604" s="162"/>
      <c r="D604" s="162"/>
      <c r="E604" s="160"/>
      <c r="F604" s="168"/>
      <c r="G604" s="162"/>
      <c r="H604" s="162"/>
      <c r="I604" s="162"/>
    </row>
    <row r="605" spans="1:9" ht="12.75" x14ac:dyDescent="0.2">
      <c r="A605" s="168"/>
      <c r="B605" s="162"/>
      <c r="C605" s="162"/>
      <c r="D605" s="162"/>
      <c r="E605" s="160"/>
      <c r="F605" s="168"/>
      <c r="G605" s="162"/>
      <c r="H605" s="162"/>
      <c r="I605" s="162"/>
    </row>
    <row r="606" spans="1:9" ht="12.75" x14ac:dyDescent="0.2">
      <c r="A606" s="168"/>
      <c r="B606" s="162"/>
      <c r="C606" s="162"/>
      <c r="D606" s="162"/>
      <c r="E606" s="160"/>
      <c r="F606" s="168"/>
      <c r="G606" s="162"/>
      <c r="H606" s="162"/>
      <c r="I606" s="162"/>
    </row>
    <row r="607" spans="1:9" ht="12.75" x14ac:dyDescent="0.2">
      <c r="A607" s="168"/>
      <c r="B607" s="162"/>
      <c r="C607" s="162"/>
      <c r="D607" s="162"/>
      <c r="E607" s="160"/>
      <c r="F607" s="168"/>
      <c r="G607" s="162"/>
      <c r="H607" s="162"/>
      <c r="I607" s="162"/>
    </row>
    <row r="608" spans="1:9" ht="12.75" x14ac:dyDescent="0.2">
      <c r="A608" s="168"/>
      <c r="B608" s="162"/>
      <c r="C608" s="162"/>
      <c r="D608" s="162"/>
      <c r="E608" s="160"/>
      <c r="F608" s="168"/>
      <c r="G608" s="162"/>
      <c r="H608" s="162"/>
      <c r="I608" s="162"/>
    </row>
    <row r="609" spans="1:9" ht="12.75" x14ac:dyDescent="0.2">
      <c r="A609" s="168"/>
      <c r="B609" s="162"/>
      <c r="C609" s="162"/>
      <c r="D609" s="162"/>
      <c r="E609" s="160"/>
      <c r="F609" s="168"/>
      <c r="G609" s="162"/>
      <c r="H609" s="162"/>
      <c r="I609" s="162"/>
    </row>
    <row r="610" spans="1:9" ht="12.75" x14ac:dyDescent="0.2">
      <c r="A610" s="168"/>
      <c r="B610" s="162"/>
      <c r="C610" s="162"/>
      <c r="D610" s="162"/>
      <c r="E610" s="160"/>
      <c r="F610" s="168"/>
      <c r="G610" s="162"/>
      <c r="H610" s="162"/>
      <c r="I610" s="162"/>
    </row>
    <row r="611" spans="1:9" ht="12.75" x14ac:dyDescent="0.2">
      <c r="A611" s="168"/>
      <c r="B611" s="162"/>
      <c r="C611" s="162"/>
      <c r="D611" s="162"/>
      <c r="E611" s="160"/>
      <c r="F611" s="168"/>
      <c r="G611" s="162"/>
      <c r="H611" s="162"/>
      <c r="I611" s="162"/>
    </row>
    <row r="612" spans="1:9" ht="12.75" x14ac:dyDescent="0.2">
      <c r="A612" s="168"/>
      <c r="B612" s="162"/>
      <c r="C612" s="162"/>
      <c r="D612" s="162"/>
      <c r="E612" s="160"/>
      <c r="F612" s="168"/>
      <c r="G612" s="162"/>
      <c r="H612" s="162"/>
      <c r="I612" s="162"/>
    </row>
    <row r="613" spans="1:9" ht="12.75" x14ac:dyDescent="0.2">
      <c r="A613" s="168"/>
      <c r="B613" s="162"/>
      <c r="C613" s="162"/>
      <c r="D613" s="162"/>
      <c r="E613" s="160"/>
      <c r="F613" s="168"/>
      <c r="G613" s="162"/>
      <c r="H613" s="162"/>
      <c r="I613" s="162"/>
    </row>
    <row r="614" spans="1:9" ht="12.75" x14ac:dyDescent="0.2">
      <c r="A614" s="168"/>
      <c r="B614" s="162"/>
      <c r="C614" s="162"/>
      <c r="D614" s="162"/>
      <c r="E614" s="160"/>
      <c r="F614" s="168"/>
      <c r="G614" s="162"/>
      <c r="H614" s="162"/>
      <c r="I614" s="162"/>
    </row>
    <row r="615" spans="1:9" ht="12.75" x14ac:dyDescent="0.2">
      <c r="A615" s="168"/>
      <c r="B615" s="162"/>
      <c r="C615" s="162"/>
      <c r="D615" s="162"/>
      <c r="E615" s="160"/>
      <c r="F615" s="168"/>
      <c r="G615" s="162"/>
      <c r="H615" s="162"/>
      <c r="I615" s="162"/>
    </row>
    <row r="616" spans="1:9" ht="12.75" x14ac:dyDescent="0.2">
      <c r="A616" s="168"/>
      <c r="B616" s="162"/>
      <c r="C616" s="162"/>
      <c r="D616" s="162"/>
      <c r="E616" s="160"/>
      <c r="F616" s="168"/>
      <c r="G616" s="162"/>
      <c r="H616" s="162"/>
      <c r="I616" s="162"/>
    </row>
    <row r="617" spans="1:9" ht="12.75" x14ac:dyDescent="0.2">
      <c r="A617" s="168"/>
      <c r="B617" s="162"/>
      <c r="C617" s="162"/>
      <c r="D617" s="162"/>
      <c r="E617" s="160"/>
      <c r="F617" s="168"/>
      <c r="G617" s="162"/>
      <c r="H617" s="162"/>
      <c r="I617" s="162"/>
    </row>
    <row r="618" spans="1:9" ht="12.75" x14ac:dyDescent="0.2">
      <c r="A618" s="168"/>
      <c r="B618" s="162"/>
      <c r="C618" s="162"/>
      <c r="D618" s="162"/>
      <c r="E618" s="160"/>
      <c r="F618" s="168"/>
      <c r="G618" s="162"/>
      <c r="H618" s="162"/>
      <c r="I618" s="162"/>
    </row>
    <row r="619" spans="1:9" ht="12.75" x14ac:dyDescent="0.2">
      <c r="A619" s="168"/>
      <c r="B619" s="162"/>
      <c r="C619" s="162"/>
      <c r="D619" s="162"/>
      <c r="E619" s="160"/>
      <c r="F619" s="168"/>
      <c r="G619" s="162"/>
      <c r="H619" s="162"/>
      <c r="I619" s="162"/>
    </row>
    <row r="620" spans="1:9" ht="12.75" x14ac:dyDescent="0.2">
      <c r="A620" s="168"/>
      <c r="B620" s="162"/>
      <c r="C620" s="162"/>
      <c r="D620" s="162"/>
      <c r="E620" s="160"/>
      <c r="F620" s="168"/>
      <c r="G620" s="162"/>
      <c r="H620" s="162"/>
      <c r="I620" s="162"/>
    </row>
    <row r="621" spans="1:9" ht="12.75" x14ac:dyDescent="0.2">
      <c r="A621" s="168"/>
      <c r="B621" s="162"/>
      <c r="C621" s="162"/>
      <c r="D621" s="162"/>
      <c r="E621" s="160"/>
      <c r="F621" s="168"/>
      <c r="G621" s="162"/>
      <c r="H621" s="162"/>
      <c r="I621" s="162"/>
    </row>
    <row r="622" spans="1:9" ht="12.75" x14ac:dyDescent="0.2">
      <c r="A622" s="168"/>
      <c r="B622" s="162"/>
      <c r="C622" s="162"/>
      <c r="D622" s="162"/>
      <c r="E622" s="160"/>
      <c r="F622" s="168"/>
      <c r="G622" s="162"/>
      <c r="H622" s="162"/>
      <c r="I622" s="162"/>
    </row>
    <row r="623" spans="1:9" ht="12.75" x14ac:dyDescent="0.2">
      <c r="A623" s="168"/>
      <c r="B623" s="162"/>
      <c r="C623" s="162"/>
      <c r="D623" s="162"/>
      <c r="E623" s="160"/>
      <c r="F623" s="168"/>
      <c r="G623" s="162"/>
      <c r="H623" s="162"/>
      <c r="I623" s="162"/>
    </row>
    <row r="624" spans="1:9" ht="12.75" x14ac:dyDescent="0.2">
      <c r="A624" s="168"/>
      <c r="B624" s="162"/>
      <c r="C624" s="162"/>
      <c r="D624" s="162"/>
      <c r="E624" s="160"/>
      <c r="F624" s="168"/>
      <c r="G624" s="162"/>
      <c r="H624" s="162"/>
      <c r="I624" s="162"/>
    </row>
    <row r="625" spans="1:9" ht="12.75" x14ac:dyDescent="0.2">
      <c r="A625" s="168"/>
      <c r="B625" s="162"/>
      <c r="C625" s="162"/>
      <c r="D625" s="162"/>
      <c r="E625" s="160"/>
      <c r="F625" s="168"/>
      <c r="G625" s="162"/>
      <c r="H625" s="162"/>
      <c r="I625" s="162"/>
    </row>
    <row r="626" spans="1:9" ht="12.75" x14ac:dyDescent="0.2">
      <c r="A626" s="168"/>
      <c r="B626" s="162"/>
      <c r="C626" s="162"/>
      <c r="D626" s="162"/>
      <c r="E626" s="160"/>
      <c r="F626" s="168"/>
      <c r="G626" s="162"/>
      <c r="H626" s="162"/>
      <c r="I626" s="162"/>
    </row>
    <row r="627" spans="1:9" ht="12.75" x14ac:dyDescent="0.2">
      <c r="A627" s="168"/>
      <c r="B627" s="162"/>
      <c r="C627" s="162"/>
      <c r="D627" s="162"/>
      <c r="E627" s="160"/>
      <c r="F627" s="168"/>
      <c r="G627" s="162"/>
      <c r="H627" s="162"/>
      <c r="I627" s="162"/>
    </row>
    <row r="628" spans="1:9" ht="12.75" x14ac:dyDescent="0.2">
      <c r="A628" s="168"/>
      <c r="B628" s="162"/>
      <c r="C628" s="162"/>
      <c r="D628" s="162"/>
      <c r="E628" s="160"/>
      <c r="F628" s="168"/>
      <c r="G628" s="162"/>
      <c r="H628" s="162"/>
      <c r="I628" s="162"/>
    </row>
    <row r="629" spans="1:9" ht="12.75" x14ac:dyDescent="0.2">
      <c r="A629" s="168"/>
      <c r="B629" s="162"/>
      <c r="C629" s="162"/>
      <c r="D629" s="162"/>
      <c r="E629" s="160"/>
      <c r="F629" s="168"/>
      <c r="G629" s="162"/>
      <c r="H629" s="162"/>
      <c r="I629" s="162"/>
    </row>
    <row r="630" spans="1:9" ht="12.75" x14ac:dyDescent="0.2">
      <c r="A630" s="168"/>
      <c r="B630" s="162"/>
      <c r="C630" s="162"/>
      <c r="D630" s="162"/>
      <c r="E630" s="160"/>
      <c r="F630" s="168"/>
      <c r="G630" s="162"/>
      <c r="H630" s="162"/>
      <c r="I630" s="162"/>
    </row>
    <row r="631" spans="1:9" ht="12.75" x14ac:dyDescent="0.2">
      <c r="A631" s="168"/>
      <c r="B631" s="162"/>
      <c r="C631" s="162"/>
      <c r="D631" s="162"/>
      <c r="E631" s="160"/>
      <c r="F631" s="168"/>
      <c r="G631" s="162"/>
      <c r="H631" s="162"/>
      <c r="I631" s="162"/>
    </row>
    <row r="632" spans="1:9" ht="12.75" x14ac:dyDescent="0.2">
      <c r="A632" s="168"/>
      <c r="B632" s="162"/>
      <c r="C632" s="162"/>
      <c r="D632" s="162"/>
      <c r="E632" s="160"/>
      <c r="F632" s="168"/>
      <c r="G632" s="162"/>
      <c r="H632" s="162"/>
      <c r="I632" s="162"/>
    </row>
    <row r="633" spans="1:9" ht="12.75" x14ac:dyDescent="0.2">
      <c r="A633" s="168"/>
      <c r="B633" s="162"/>
      <c r="C633" s="162"/>
      <c r="D633" s="162"/>
      <c r="E633" s="160"/>
      <c r="F633" s="168"/>
      <c r="G633" s="162"/>
      <c r="H633" s="162"/>
      <c r="I633" s="162"/>
    </row>
    <row r="634" spans="1:9" ht="12.75" x14ac:dyDescent="0.2">
      <c r="A634" s="168"/>
      <c r="B634" s="162"/>
      <c r="C634" s="162"/>
      <c r="D634" s="162"/>
      <c r="E634" s="160"/>
      <c r="F634" s="168"/>
      <c r="G634" s="162"/>
      <c r="H634" s="162"/>
      <c r="I634" s="162"/>
    </row>
    <row r="635" spans="1:9" ht="12.75" x14ac:dyDescent="0.2">
      <c r="A635" s="168"/>
      <c r="B635" s="162"/>
      <c r="C635" s="162"/>
      <c r="D635" s="162"/>
      <c r="E635" s="160"/>
      <c r="F635" s="168"/>
      <c r="G635" s="162"/>
      <c r="H635" s="162"/>
      <c r="I635" s="162"/>
    </row>
    <row r="636" spans="1:9" ht="12.75" x14ac:dyDescent="0.2">
      <c r="A636" s="168"/>
      <c r="B636" s="162"/>
      <c r="C636" s="162"/>
      <c r="D636" s="162"/>
      <c r="E636" s="160"/>
      <c r="F636" s="168"/>
      <c r="G636" s="162"/>
      <c r="H636" s="162"/>
      <c r="I636" s="162"/>
    </row>
    <row r="637" spans="1:9" ht="12.75" x14ac:dyDescent="0.2">
      <c r="A637" s="168"/>
      <c r="B637" s="162"/>
      <c r="C637" s="162"/>
      <c r="D637" s="162"/>
      <c r="E637" s="160"/>
      <c r="F637" s="168"/>
      <c r="G637" s="162"/>
      <c r="H637" s="162"/>
      <c r="I637" s="162"/>
    </row>
    <row r="638" spans="1:9" ht="12.75" x14ac:dyDescent="0.2">
      <c r="A638" s="168"/>
      <c r="B638" s="162"/>
      <c r="C638" s="162"/>
      <c r="D638" s="162"/>
      <c r="E638" s="160"/>
      <c r="F638" s="168"/>
      <c r="G638" s="162"/>
      <c r="H638" s="162"/>
      <c r="I638" s="162"/>
    </row>
    <row r="639" spans="1:9" ht="12.75" x14ac:dyDescent="0.2">
      <c r="A639" s="168"/>
      <c r="B639" s="162"/>
      <c r="C639" s="162"/>
      <c r="D639" s="162"/>
      <c r="E639" s="160"/>
      <c r="F639" s="168"/>
      <c r="G639" s="162"/>
      <c r="H639" s="162"/>
      <c r="I639" s="162"/>
    </row>
    <row r="640" spans="1:9" ht="12.75" x14ac:dyDescent="0.2">
      <c r="A640" s="168"/>
      <c r="B640" s="162"/>
      <c r="C640" s="162"/>
      <c r="D640" s="162"/>
      <c r="E640" s="160"/>
      <c r="F640" s="168"/>
      <c r="G640" s="162"/>
      <c r="H640" s="162"/>
      <c r="I640" s="162"/>
    </row>
    <row r="641" spans="1:9" ht="12.75" x14ac:dyDescent="0.2">
      <c r="A641" s="168"/>
      <c r="B641" s="162"/>
      <c r="C641" s="162"/>
      <c r="D641" s="162"/>
      <c r="E641" s="160"/>
      <c r="F641" s="168"/>
      <c r="G641" s="162"/>
      <c r="H641" s="162"/>
      <c r="I641" s="162"/>
    </row>
    <row r="642" spans="1:9" ht="12.75" x14ac:dyDescent="0.2">
      <c r="A642" s="168"/>
      <c r="B642" s="162"/>
      <c r="C642" s="162"/>
      <c r="D642" s="162"/>
      <c r="E642" s="160"/>
      <c r="F642" s="168"/>
      <c r="G642" s="162"/>
      <c r="H642" s="162"/>
      <c r="I642" s="162"/>
    </row>
    <row r="643" spans="1:9" ht="12.75" x14ac:dyDescent="0.2">
      <c r="A643" s="168"/>
      <c r="B643" s="162"/>
      <c r="C643" s="162"/>
      <c r="D643" s="162"/>
      <c r="E643" s="160"/>
      <c r="F643" s="168"/>
      <c r="G643" s="162"/>
      <c r="H643" s="162"/>
      <c r="I643" s="162"/>
    </row>
    <row r="644" spans="1:9" ht="12.75" x14ac:dyDescent="0.2">
      <c r="A644" s="168"/>
      <c r="B644" s="162"/>
      <c r="C644" s="162"/>
      <c r="D644" s="162"/>
      <c r="E644" s="160"/>
      <c r="F644" s="168"/>
      <c r="G644" s="162"/>
      <c r="H644" s="162"/>
      <c r="I644" s="162"/>
    </row>
    <row r="645" spans="1:9" ht="12.75" x14ac:dyDescent="0.2">
      <c r="A645" s="168"/>
      <c r="B645" s="162"/>
      <c r="C645" s="162"/>
      <c r="D645" s="162"/>
      <c r="E645" s="160"/>
      <c r="F645" s="168"/>
      <c r="G645" s="162"/>
      <c r="H645" s="162"/>
      <c r="I645" s="162"/>
    </row>
    <row r="646" spans="1:9" ht="12.75" x14ac:dyDescent="0.2">
      <c r="A646" s="168"/>
      <c r="B646" s="162"/>
      <c r="C646" s="162"/>
      <c r="D646" s="162"/>
      <c r="E646" s="160"/>
      <c r="F646" s="168"/>
      <c r="G646" s="162"/>
      <c r="H646" s="162"/>
      <c r="I646" s="162"/>
    </row>
    <row r="647" spans="1:9" ht="12.75" x14ac:dyDescent="0.2">
      <c r="A647" s="168"/>
      <c r="B647" s="162"/>
      <c r="C647" s="162"/>
      <c r="D647" s="162"/>
      <c r="E647" s="160"/>
      <c r="F647" s="168"/>
      <c r="G647" s="162"/>
      <c r="H647" s="162"/>
      <c r="I647" s="162"/>
    </row>
    <row r="648" spans="1:9" ht="12.75" x14ac:dyDescent="0.2">
      <c r="A648" s="168"/>
      <c r="B648" s="162"/>
      <c r="C648" s="162"/>
      <c r="D648" s="162"/>
      <c r="E648" s="160"/>
      <c r="F648" s="168"/>
      <c r="G648" s="162"/>
      <c r="H648" s="162"/>
      <c r="I648" s="162"/>
    </row>
    <row r="649" spans="1:9" ht="12.75" x14ac:dyDescent="0.2">
      <c r="A649" s="168"/>
      <c r="B649" s="162"/>
      <c r="C649" s="162"/>
      <c r="D649" s="162"/>
      <c r="E649" s="160"/>
      <c r="F649" s="168"/>
      <c r="G649" s="162"/>
      <c r="H649" s="162"/>
      <c r="I649" s="162"/>
    </row>
    <row r="650" spans="1:9" ht="12.75" x14ac:dyDescent="0.2">
      <c r="A650" s="168"/>
      <c r="B650" s="162"/>
      <c r="C650" s="162"/>
      <c r="D650" s="162"/>
      <c r="E650" s="160"/>
      <c r="F650" s="168"/>
      <c r="G650" s="162"/>
      <c r="H650" s="162"/>
      <c r="I650" s="162"/>
    </row>
    <row r="651" spans="1:9" ht="12.75" x14ac:dyDescent="0.2">
      <c r="A651" s="168"/>
      <c r="B651" s="162"/>
      <c r="C651" s="162"/>
      <c r="D651" s="162"/>
      <c r="E651" s="160"/>
      <c r="F651" s="168"/>
      <c r="G651" s="162"/>
      <c r="H651" s="162"/>
      <c r="I651" s="162"/>
    </row>
    <row r="652" spans="1:9" ht="12.75" x14ac:dyDescent="0.2">
      <c r="A652" s="168"/>
      <c r="B652" s="162"/>
      <c r="C652" s="162"/>
      <c r="D652" s="162"/>
      <c r="E652" s="160"/>
      <c r="F652" s="168"/>
      <c r="G652" s="162"/>
      <c r="H652" s="162"/>
      <c r="I652" s="162"/>
    </row>
    <row r="653" spans="1:9" ht="12.75" x14ac:dyDescent="0.2">
      <c r="A653" s="168"/>
      <c r="B653" s="162"/>
      <c r="C653" s="162"/>
      <c r="D653" s="162"/>
      <c r="E653" s="160"/>
      <c r="F653" s="168"/>
      <c r="G653" s="162"/>
      <c r="H653" s="162"/>
      <c r="I653" s="162"/>
    </row>
    <row r="654" spans="1:9" ht="12.75" x14ac:dyDescent="0.2">
      <c r="A654" s="168"/>
      <c r="B654" s="162"/>
      <c r="C654" s="162"/>
      <c r="D654" s="162"/>
      <c r="E654" s="160"/>
      <c r="F654" s="168"/>
      <c r="G654" s="162"/>
      <c r="H654" s="162"/>
      <c r="I654" s="162"/>
    </row>
    <row r="655" spans="1:9" ht="12.75" x14ac:dyDescent="0.2">
      <c r="A655" s="168"/>
      <c r="B655" s="162"/>
      <c r="C655" s="162"/>
      <c r="D655" s="162"/>
      <c r="E655" s="160"/>
      <c r="F655" s="168"/>
      <c r="G655" s="162"/>
      <c r="H655" s="162"/>
      <c r="I655" s="162"/>
    </row>
    <row r="656" spans="1:9" ht="12.75" x14ac:dyDescent="0.2">
      <c r="A656" s="168"/>
      <c r="B656" s="162"/>
      <c r="C656" s="162"/>
      <c r="D656" s="162"/>
      <c r="E656" s="160"/>
      <c r="F656" s="168"/>
      <c r="G656" s="162"/>
      <c r="H656" s="162"/>
      <c r="I656" s="162"/>
    </row>
    <row r="657" spans="1:9" ht="12.75" x14ac:dyDescent="0.2">
      <c r="A657" s="168"/>
      <c r="B657" s="162"/>
      <c r="C657" s="162"/>
      <c r="D657" s="162"/>
      <c r="E657" s="160"/>
      <c r="F657" s="168"/>
      <c r="G657" s="162"/>
      <c r="H657" s="162"/>
      <c r="I657" s="162"/>
    </row>
    <row r="658" spans="1:9" ht="12.75" x14ac:dyDescent="0.2">
      <c r="A658" s="168"/>
      <c r="B658" s="162"/>
      <c r="C658" s="162"/>
      <c r="D658" s="162"/>
      <c r="E658" s="160"/>
      <c r="F658" s="168"/>
      <c r="G658" s="162"/>
      <c r="H658" s="162"/>
      <c r="I658" s="162"/>
    </row>
    <row r="659" spans="1:9" ht="12.75" x14ac:dyDescent="0.2">
      <c r="A659" s="168"/>
      <c r="B659" s="162"/>
      <c r="C659" s="162"/>
      <c r="D659" s="162"/>
      <c r="E659" s="160"/>
      <c r="F659" s="168"/>
      <c r="G659" s="162"/>
      <c r="H659" s="162"/>
      <c r="I659" s="162"/>
    </row>
    <row r="660" spans="1:9" ht="12.75" x14ac:dyDescent="0.2">
      <c r="A660" s="168"/>
      <c r="B660" s="162"/>
      <c r="C660" s="162"/>
      <c r="D660" s="162"/>
      <c r="E660" s="160"/>
      <c r="F660" s="168"/>
      <c r="G660" s="162"/>
      <c r="H660" s="162"/>
      <c r="I660" s="162"/>
    </row>
    <row r="661" spans="1:9" ht="12.75" x14ac:dyDescent="0.2">
      <c r="A661" s="168"/>
      <c r="B661" s="162"/>
      <c r="C661" s="162"/>
      <c r="D661" s="162"/>
      <c r="E661" s="160"/>
      <c r="F661" s="168"/>
      <c r="G661" s="162"/>
      <c r="H661" s="162"/>
      <c r="I661" s="162"/>
    </row>
    <row r="662" spans="1:9" ht="12.75" x14ac:dyDescent="0.2">
      <c r="A662" s="168"/>
      <c r="B662" s="162"/>
      <c r="C662" s="162"/>
      <c r="D662" s="162"/>
      <c r="E662" s="160"/>
      <c r="F662" s="168"/>
      <c r="G662" s="162"/>
      <c r="H662" s="162"/>
      <c r="I662" s="162"/>
    </row>
    <row r="663" spans="1:9" ht="12.75" x14ac:dyDescent="0.2">
      <c r="A663" s="168"/>
      <c r="B663" s="162"/>
      <c r="C663" s="162"/>
      <c r="D663" s="162"/>
      <c r="E663" s="160"/>
      <c r="F663" s="168"/>
      <c r="G663" s="162"/>
      <c r="H663" s="162"/>
      <c r="I663" s="162"/>
    </row>
    <row r="664" spans="1:9" ht="12.75" x14ac:dyDescent="0.2">
      <c r="A664" s="168"/>
      <c r="B664" s="162"/>
      <c r="C664" s="162"/>
      <c r="D664" s="162"/>
      <c r="E664" s="160"/>
      <c r="F664" s="168"/>
      <c r="G664" s="162"/>
      <c r="H664" s="162"/>
      <c r="I664" s="162"/>
    </row>
    <row r="665" spans="1:9" ht="12.75" x14ac:dyDescent="0.2">
      <c r="A665" s="168"/>
      <c r="B665" s="162"/>
      <c r="C665" s="162"/>
      <c r="D665" s="162"/>
      <c r="E665" s="160"/>
      <c r="F665" s="168"/>
      <c r="G665" s="162"/>
      <c r="H665" s="162"/>
      <c r="I665" s="162"/>
    </row>
    <row r="666" spans="1:9" ht="12.75" x14ac:dyDescent="0.2">
      <c r="A666" s="168"/>
      <c r="B666" s="162"/>
      <c r="C666" s="162"/>
      <c r="D666" s="162"/>
      <c r="E666" s="160"/>
      <c r="F666" s="168"/>
      <c r="G666" s="162"/>
      <c r="H666" s="162"/>
      <c r="I666" s="162"/>
    </row>
    <row r="667" spans="1:9" ht="12.75" x14ac:dyDescent="0.2">
      <c r="A667" s="168"/>
      <c r="B667" s="162"/>
      <c r="C667" s="162"/>
      <c r="D667" s="162"/>
      <c r="E667" s="160"/>
      <c r="F667" s="168"/>
      <c r="G667" s="162"/>
      <c r="H667" s="162"/>
      <c r="I667" s="162"/>
    </row>
    <row r="668" spans="1:9" ht="12.75" x14ac:dyDescent="0.2">
      <c r="A668" s="168"/>
      <c r="B668" s="162"/>
      <c r="C668" s="162"/>
      <c r="D668" s="162"/>
      <c r="E668" s="160"/>
      <c r="F668" s="168"/>
      <c r="G668" s="162"/>
      <c r="H668" s="162"/>
      <c r="I668" s="162"/>
    </row>
    <row r="669" spans="1:9" ht="12.75" x14ac:dyDescent="0.2">
      <c r="A669" s="168"/>
      <c r="B669" s="162"/>
      <c r="C669" s="162"/>
      <c r="D669" s="162"/>
      <c r="E669" s="160"/>
      <c r="F669" s="168"/>
      <c r="G669" s="162"/>
      <c r="H669" s="162"/>
      <c r="I669" s="162"/>
    </row>
    <row r="670" spans="1:9" ht="12.75" x14ac:dyDescent="0.2">
      <c r="A670" s="168"/>
      <c r="B670" s="162"/>
      <c r="C670" s="162"/>
      <c r="D670" s="162"/>
      <c r="E670" s="160"/>
      <c r="F670" s="168"/>
      <c r="G670" s="162"/>
      <c r="H670" s="162"/>
      <c r="I670" s="162"/>
    </row>
    <row r="671" spans="1:9" ht="12.75" x14ac:dyDescent="0.2">
      <c r="A671" s="168"/>
      <c r="B671" s="162"/>
      <c r="C671" s="162"/>
      <c r="D671" s="162"/>
      <c r="E671" s="160"/>
      <c r="F671" s="168"/>
      <c r="G671" s="162"/>
      <c r="H671" s="162"/>
      <c r="I671" s="162"/>
    </row>
    <row r="672" spans="1:9" ht="12.75" x14ac:dyDescent="0.2">
      <c r="A672" s="168"/>
      <c r="B672" s="162"/>
      <c r="C672" s="162"/>
      <c r="D672" s="162"/>
      <c r="E672" s="160"/>
      <c r="F672" s="168"/>
      <c r="G672" s="162"/>
      <c r="H672" s="162"/>
      <c r="I672" s="162"/>
    </row>
    <row r="673" spans="1:9" ht="12.75" x14ac:dyDescent="0.2">
      <c r="A673" s="168"/>
      <c r="B673" s="162"/>
      <c r="C673" s="162"/>
      <c r="D673" s="162"/>
      <c r="E673" s="160"/>
      <c r="F673" s="168"/>
      <c r="G673" s="162"/>
      <c r="H673" s="162"/>
      <c r="I673" s="162"/>
    </row>
    <row r="674" spans="1:9" ht="12.75" x14ac:dyDescent="0.2">
      <c r="A674" s="168"/>
      <c r="B674" s="162"/>
      <c r="C674" s="162"/>
      <c r="D674" s="162"/>
      <c r="E674" s="160"/>
      <c r="F674" s="168"/>
      <c r="G674" s="162"/>
      <c r="H674" s="162"/>
      <c r="I674" s="162"/>
    </row>
    <row r="675" spans="1:9" ht="12.75" x14ac:dyDescent="0.2">
      <c r="A675" s="168"/>
      <c r="B675" s="162"/>
      <c r="C675" s="162"/>
      <c r="D675" s="162"/>
      <c r="E675" s="160"/>
      <c r="F675" s="168"/>
      <c r="G675" s="162"/>
      <c r="H675" s="162"/>
      <c r="I675" s="162"/>
    </row>
    <row r="676" spans="1:9" ht="12.75" x14ac:dyDescent="0.2">
      <c r="A676" s="168"/>
      <c r="B676" s="162"/>
      <c r="C676" s="162"/>
      <c r="D676" s="162"/>
      <c r="E676" s="160"/>
      <c r="F676" s="168"/>
      <c r="G676" s="162"/>
      <c r="H676" s="162"/>
      <c r="I676" s="162"/>
    </row>
    <row r="677" spans="1:9" ht="12.75" x14ac:dyDescent="0.2">
      <c r="A677" s="168"/>
      <c r="B677" s="162"/>
      <c r="C677" s="162"/>
      <c r="D677" s="162"/>
      <c r="E677" s="160"/>
      <c r="F677" s="168"/>
      <c r="G677" s="162"/>
      <c r="H677" s="162"/>
      <c r="I677" s="162"/>
    </row>
    <row r="678" spans="1:9" ht="12.75" x14ac:dyDescent="0.2">
      <c r="A678" s="168"/>
      <c r="B678" s="162"/>
      <c r="C678" s="162"/>
      <c r="D678" s="162"/>
      <c r="E678" s="160"/>
      <c r="F678" s="168"/>
      <c r="G678" s="162"/>
      <c r="H678" s="162"/>
      <c r="I678" s="162"/>
    </row>
    <row r="679" spans="1:9" ht="12.75" x14ac:dyDescent="0.2">
      <c r="A679" s="168"/>
      <c r="B679" s="162"/>
      <c r="C679" s="162"/>
      <c r="D679" s="162"/>
      <c r="E679" s="160"/>
      <c r="F679" s="168"/>
      <c r="G679" s="162"/>
      <c r="H679" s="162"/>
      <c r="I679" s="162"/>
    </row>
    <row r="680" spans="1:9" ht="12.75" x14ac:dyDescent="0.2">
      <c r="A680" s="168"/>
      <c r="B680" s="162"/>
      <c r="C680" s="162"/>
      <c r="D680" s="162"/>
      <c r="E680" s="160"/>
      <c r="F680" s="168"/>
      <c r="G680" s="162"/>
      <c r="H680" s="162"/>
      <c r="I680" s="162"/>
    </row>
    <row r="681" spans="1:9" ht="12.75" x14ac:dyDescent="0.2">
      <c r="A681" s="168"/>
      <c r="B681" s="162"/>
      <c r="C681" s="162"/>
      <c r="D681" s="162"/>
      <c r="E681" s="160"/>
      <c r="F681" s="168"/>
      <c r="G681" s="162"/>
      <c r="H681" s="162"/>
      <c r="I681" s="162"/>
    </row>
    <row r="682" spans="1:9" ht="12.75" x14ac:dyDescent="0.2">
      <c r="A682" s="168"/>
      <c r="B682" s="162"/>
      <c r="C682" s="162"/>
      <c r="D682" s="162"/>
      <c r="E682" s="160"/>
      <c r="F682" s="168"/>
      <c r="G682" s="162"/>
      <c r="H682" s="162"/>
      <c r="I682" s="162"/>
    </row>
    <row r="683" spans="1:9" ht="12.75" x14ac:dyDescent="0.2">
      <c r="A683" s="168"/>
      <c r="B683" s="162"/>
      <c r="C683" s="162"/>
      <c r="D683" s="162"/>
      <c r="E683" s="160"/>
      <c r="F683" s="168"/>
      <c r="G683" s="162"/>
      <c r="H683" s="162"/>
      <c r="I683" s="162"/>
    </row>
    <row r="684" spans="1:9" ht="12.75" x14ac:dyDescent="0.2">
      <c r="A684" s="168"/>
      <c r="B684" s="162"/>
      <c r="C684" s="162"/>
      <c r="D684" s="162"/>
      <c r="E684" s="160"/>
      <c r="F684" s="168"/>
      <c r="G684" s="162"/>
      <c r="H684" s="162"/>
      <c r="I684" s="162"/>
    </row>
    <row r="685" spans="1:9" ht="12.75" x14ac:dyDescent="0.2">
      <c r="A685" s="168"/>
      <c r="B685" s="162"/>
      <c r="C685" s="162"/>
      <c r="D685" s="162"/>
      <c r="E685" s="160"/>
      <c r="F685" s="168"/>
      <c r="G685" s="162"/>
      <c r="H685" s="162"/>
      <c r="I685" s="162"/>
    </row>
    <row r="686" spans="1:9" ht="12.75" x14ac:dyDescent="0.2">
      <c r="A686" s="168"/>
      <c r="B686" s="162"/>
      <c r="C686" s="162"/>
      <c r="D686" s="162"/>
      <c r="E686" s="160"/>
      <c r="F686" s="168"/>
      <c r="G686" s="162"/>
      <c r="H686" s="162"/>
      <c r="I686" s="162"/>
    </row>
    <row r="687" spans="1:9" ht="12.75" x14ac:dyDescent="0.2">
      <c r="A687" s="168"/>
      <c r="B687" s="162"/>
      <c r="C687" s="162"/>
      <c r="D687" s="162"/>
      <c r="E687" s="160"/>
      <c r="F687" s="168"/>
      <c r="G687" s="162"/>
      <c r="H687" s="162"/>
      <c r="I687" s="162"/>
    </row>
    <row r="688" spans="1:9" ht="12.75" x14ac:dyDescent="0.2">
      <c r="A688" s="168"/>
      <c r="B688" s="162"/>
      <c r="C688" s="162"/>
      <c r="D688" s="162"/>
      <c r="E688" s="160"/>
      <c r="F688" s="168"/>
      <c r="G688" s="162"/>
      <c r="H688" s="162"/>
      <c r="I688" s="162"/>
    </row>
    <row r="689" spans="1:9" ht="12.75" x14ac:dyDescent="0.2">
      <c r="A689" s="168"/>
      <c r="B689" s="162"/>
      <c r="C689" s="162"/>
      <c r="D689" s="162"/>
      <c r="E689" s="160"/>
      <c r="F689" s="168"/>
      <c r="G689" s="162"/>
      <c r="H689" s="162"/>
      <c r="I689" s="162"/>
    </row>
    <row r="690" spans="1:9" ht="12.75" x14ac:dyDescent="0.2">
      <c r="A690" s="168"/>
      <c r="B690" s="162"/>
      <c r="C690" s="162"/>
      <c r="D690" s="162"/>
      <c r="E690" s="160"/>
      <c r="F690" s="168"/>
      <c r="G690" s="162"/>
      <c r="H690" s="162"/>
      <c r="I690" s="162"/>
    </row>
    <row r="691" spans="1:9" ht="12.75" x14ac:dyDescent="0.2">
      <c r="A691" s="168"/>
      <c r="B691" s="162"/>
      <c r="C691" s="162"/>
      <c r="D691" s="162"/>
      <c r="E691" s="160"/>
      <c r="F691" s="168"/>
      <c r="G691" s="162"/>
      <c r="H691" s="162"/>
      <c r="I691" s="162"/>
    </row>
    <row r="692" spans="1:9" ht="12.75" x14ac:dyDescent="0.2">
      <c r="A692" s="168"/>
      <c r="B692" s="162"/>
      <c r="C692" s="162"/>
      <c r="D692" s="162"/>
      <c r="E692" s="160"/>
      <c r="F692" s="168"/>
      <c r="G692" s="162"/>
      <c r="H692" s="162"/>
      <c r="I692" s="162"/>
    </row>
    <row r="693" spans="1:9" ht="12.75" x14ac:dyDescent="0.2">
      <c r="A693" s="168"/>
      <c r="B693" s="162"/>
      <c r="C693" s="162"/>
      <c r="D693" s="162"/>
      <c r="E693" s="160"/>
      <c r="F693" s="168"/>
      <c r="G693" s="162"/>
      <c r="H693" s="162"/>
      <c r="I693" s="162"/>
    </row>
    <row r="694" spans="1:9" ht="12.75" x14ac:dyDescent="0.2">
      <c r="A694" s="168"/>
      <c r="B694" s="162"/>
      <c r="C694" s="162"/>
      <c r="D694" s="162"/>
      <c r="E694" s="160"/>
      <c r="F694" s="168"/>
      <c r="G694" s="162"/>
      <c r="H694" s="162"/>
      <c r="I694" s="162"/>
    </row>
    <row r="695" spans="1:9" ht="12.75" x14ac:dyDescent="0.2">
      <c r="A695" s="168"/>
      <c r="B695" s="162"/>
      <c r="C695" s="162"/>
      <c r="D695" s="162"/>
      <c r="E695" s="160"/>
      <c r="F695" s="168"/>
      <c r="G695" s="162"/>
      <c r="H695" s="162"/>
      <c r="I695" s="162"/>
    </row>
    <row r="696" spans="1:9" ht="12.75" x14ac:dyDescent="0.2">
      <c r="A696" s="168"/>
      <c r="B696" s="162"/>
      <c r="C696" s="162"/>
      <c r="D696" s="162"/>
      <c r="E696" s="160"/>
      <c r="F696" s="168"/>
      <c r="G696" s="162"/>
      <c r="H696" s="162"/>
      <c r="I696" s="162"/>
    </row>
    <row r="697" spans="1:9" ht="12.75" x14ac:dyDescent="0.2">
      <c r="A697" s="168"/>
      <c r="B697" s="162"/>
      <c r="C697" s="162"/>
      <c r="D697" s="162"/>
      <c r="E697" s="160"/>
      <c r="F697" s="168"/>
      <c r="G697" s="162"/>
      <c r="H697" s="162"/>
      <c r="I697" s="162"/>
    </row>
    <row r="698" spans="1:9" ht="12.75" x14ac:dyDescent="0.2">
      <c r="A698" s="168"/>
      <c r="B698" s="162"/>
      <c r="C698" s="162"/>
      <c r="D698" s="162"/>
      <c r="E698" s="160"/>
      <c r="F698" s="168"/>
      <c r="G698" s="162"/>
      <c r="H698" s="162"/>
      <c r="I698" s="162"/>
    </row>
    <row r="699" spans="1:9" ht="12.75" x14ac:dyDescent="0.2">
      <c r="A699" s="168"/>
      <c r="B699" s="162"/>
      <c r="C699" s="162"/>
      <c r="D699" s="162"/>
      <c r="E699" s="160"/>
      <c r="F699" s="168"/>
      <c r="G699" s="162"/>
      <c r="H699" s="162"/>
      <c r="I699" s="162"/>
    </row>
    <row r="700" spans="1:9" ht="12.75" x14ac:dyDescent="0.2">
      <c r="A700" s="168"/>
      <c r="B700" s="162"/>
      <c r="C700" s="162"/>
      <c r="D700" s="162"/>
      <c r="E700" s="160"/>
      <c r="F700" s="168"/>
      <c r="G700" s="162"/>
      <c r="H700" s="162"/>
      <c r="I700" s="162"/>
    </row>
    <row r="701" spans="1:9" ht="12.75" x14ac:dyDescent="0.2">
      <c r="A701" s="168"/>
      <c r="B701" s="162"/>
      <c r="C701" s="162"/>
      <c r="D701" s="162"/>
      <c r="E701" s="160"/>
      <c r="F701" s="168"/>
      <c r="G701" s="162"/>
      <c r="H701" s="162"/>
      <c r="I701" s="162"/>
    </row>
    <row r="702" spans="1:9" ht="12.75" x14ac:dyDescent="0.2">
      <c r="A702" s="168"/>
      <c r="B702" s="162"/>
      <c r="C702" s="162"/>
      <c r="D702" s="162"/>
      <c r="E702" s="160"/>
      <c r="F702" s="168"/>
      <c r="G702" s="162"/>
      <c r="H702" s="162"/>
      <c r="I702" s="162"/>
    </row>
    <row r="703" spans="1:9" ht="12.75" x14ac:dyDescent="0.2">
      <c r="A703" s="168"/>
      <c r="B703" s="162"/>
      <c r="C703" s="162"/>
      <c r="D703" s="162"/>
      <c r="E703" s="160"/>
      <c r="F703" s="168"/>
      <c r="G703" s="162"/>
      <c r="H703" s="162"/>
      <c r="I703" s="162"/>
    </row>
    <row r="704" spans="1:9" ht="12.75" x14ac:dyDescent="0.2">
      <c r="A704" s="168"/>
      <c r="B704" s="162"/>
      <c r="C704" s="162"/>
      <c r="D704" s="162"/>
      <c r="E704" s="160"/>
      <c r="F704" s="168"/>
      <c r="G704" s="162"/>
      <c r="H704" s="162"/>
      <c r="I704" s="162"/>
    </row>
    <row r="705" spans="1:9" ht="12.75" x14ac:dyDescent="0.2">
      <c r="A705" s="168"/>
      <c r="B705" s="162"/>
      <c r="C705" s="162"/>
      <c r="D705" s="162"/>
      <c r="E705" s="160"/>
      <c r="F705" s="168"/>
      <c r="G705" s="162"/>
      <c r="H705" s="162"/>
      <c r="I705" s="162"/>
    </row>
    <row r="706" spans="1:9" ht="12.75" x14ac:dyDescent="0.2">
      <c r="A706" s="168"/>
      <c r="B706" s="162"/>
      <c r="C706" s="162"/>
      <c r="D706" s="162"/>
      <c r="E706" s="160"/>
      <c r="F706" s="168"/>
      <c r="G706" s="162"/>
      <c r="H706" s="162"/>
      <c r="I706" s="162"/>
    </row>
    <row r="707" spans="1:9" ht="12.75" x14ac:dyDescent="0.2">
      <c r="A707" s="168"/>
      <c r="B707" s="162"/>
      <c r="C707" s="162"/>
      <c r="D707" s="162"/>
      <c r="E707" s="160"/>
      <c r="F707" s="168"/>
      <c r="G707" s="162"/>
      <c r="H707" s="162"/>
      <c r="I707" s="162"/>
    </row>
    <row r="708" spans="1:9" ht="12.75" x14ac:dyDescent="0.2">
      <c r="A708" s="168"/>
      <c r="B708" s="162"/>
      <c r="C708" s="162"/>
      <c r="D708" s="162"/>
      <c r="E708" s="160"/>
      <c r="F708" s="168"/>
      <c r="G708" s="162"/>
      <c r="H708" s="162"/>
      <c r="I708" s="162"/>
    </row>
    <row r="709" spans="1:9" ht="12.75" x14ac:dyDescent="0.2">
      <c r="A709" s="168"/>
      <c r="B709" s="162"/>
      <c r="C709" s="162"/>
      <c r="D709" s="162"/>
      <c r="E709" s="160"/>
      <c r="F709" s="168"/>
      <c r="G709" s="162"/>
      <c r="H709" s="162"/>
      <c r="I709" s="162"/>
    </row>
    <row r="710" spans="1:9" ht="12.75" x14ac:dyDescent="0.2">
      <c r="A710" s="168"/>
      <c r="B710" s="162"/>
      <c r="C710" s="162"/>
      <c r="D710" s="162"/>
      <c r="E710" s="160"/>
      <c r="F710" s="168"/>
      <c r="G710" s="162"/>
      <c r="H710" s="162"/>
      <c r="I710" s="162"/>
    </row>
    <row r="711" spans="1:9" ht="12.75" x14ac:dyDescent="0.2">
      <c r="A711" s="168"/>
      <c r="B711" s="162"/>
      <c r="C711" s="162"/>
      <c r="D711" s="162"/>
      <c r="E711" s="160"/>
      <c r="F711" s="168"/>
      <c r="G711" s="162"/>
      <c r="H711" s="162"/>
      <c r="I711" s="162"/>
    </row>
    <row r="712" spans="1:9" ht="12.75" x14ac:dyDescent="0.2">
      <c r="A712" s="168"/>
      <c r="B712" s="162"/>
      <c r="C712" s="162"/>
      <c r="D712" s="162"/>
      <c r="E712" s="160"/>
      <c r="F712" s="168"/>
      <c r="G712" s="162"/>
      <c r="H712" s="162"/>
      <c r="I712" s="162"/>
    </row>
    <row r="713" spans="1:9" ht="12.75" x14ac:dyDescent="0.2">
      <c r="A713" s="168"/>
      <c r="B713" s="162"/>
      <c r="C713" s="162"/>
      <c r="D713" s="162"/>
      <c r="E713" s="160"/>
      <c r="F713" s="168"/>
      <c r="G713" s="162"/>
      <c r="H713" s="162"/>
      <c r="I713" s="162"/>
    </row>
    <row r="714" spans="1:9" ht="12.75" x14ac:dyDescent="0.2">
      <c r="A714" s="168"/>
      <c r="B714" s="162"/>
      <c r="C714" s="162"/>
      <c r="D714" s="162"/>
      <c r="E714" s="160"/>
      <c r="F714" s="168"/>
      <c r="G714" s="162"/>
      <c r="H714" s="162"/>
      <c r="I714" s="162"/>
    </row>
    <row r="715" spans="1:9" ht="12.75" x14ac:dyDescent="0.2">
      <c r="A715" s="168"/>
      <c r="B715" s="162"/>
      <c r="C715" s="162"/>
      <c r="D715" s="162"/>
      <c r="E715" s="160"/>
      <c r="F715" s="168"/>
      <c r="G715" s="162"/>
      <c r="H715" s="162"/>
      <c r="I715" s="162"/>
    </row>
    <row r="716" spans="1:9" ht="12.75" x14ac:dyDescent="0.2">
      <c r="A716" s="168"/>
      <c r="B716" s="162"/>
      <c r="C716" s="162"/>
      <c r="D716" s="162"/>
      <c r="E716" s="160"/>
      <c r="F716" s="168"/>
      <c r="G716" s="162"/>
      <c r="H716" s="162"/>
      <c r="I716" s="162"/>
    </row>
    <row r="717" spans="1:9" ht="12.75" x14ac:dyDescent="0.2">
      <c r="A717" s="168"/>
      <c r="B717" s="162"/>
      <c r="C717" s="162"/>
      <c r="D717" s="162"/>
      <c r="E717" s="160"/>
      <c r="F717" s="168"/>
      <c r="G717" s="162"/>
      <c r="H717" s="162"/>
      <c r="I717" s="162"/>
    </row>
    <row r="718" spans="1:9" ht="12.75" x14ac:dyDescent="0.2">
      <c r="A718" s="168"/>
      <c r="B718" s="162"/>
      <c r="C718" s="162"/>
      <c r="D718" s="162"/>
      <c r="E718" s="160"/>
      <c r="F718" s="168"/>
      <c r="G718" s="162"/>
      <c r="H718" s="162"/>
      <c r="I718" s="162"/>
    </row>
    <row r="719" spans="1:9" ht="12.75" x14ac:dyDescent="0.2">
      <c r="A719" s="168"/>
      <c r="B719" s="162"/>
      <c r="C719" s="162"/>
      <c r="D719" s="162"/>
      <c r="E719" s="160"/>
      <c r="F719" s="168"/>
      <c r="G719" s="162"/>
      <c r="H719" s="162"/>
      <c r="I719" s="162"/>
    </row>
    <row r="720" spans="1:9" ht="12.75" x14ac:dyDescent="0.2">
      <c r="A720" s="168"/>
      <c r="B720" s="162"/>
      <c r="C720" s="162"/>
      <c r="D720" s="162"/>
      <c r="E720" s="160"/>
      <c r="F720" s="168"/>
      <c r="G720" s="162"/>
      <c r="H720" s="162"/>
      <c r="I720" s="162"/>
    </row>
    <row r="721" spans="1:9" ht="12.75" x14ac:dyDescent="0.2">
      <c r="A721" s="168"/>
      <c r="B721" s="162"/>
      <c r="C721" s="162"/>
      <c r="D721" s="162"/>
      <c r="E721" s="160"/>
      <c r="F721" s="168"/>
      <c r="G721" s="162"/>
      <c r="H721" s="162"/>
      <c r="I721" s="162"/>
    </row>
    <row r="722" spans="1:9" ht="12.75" x14ac:dyDescent="0.2">
      <c r="A722" s="168"/>
      <c r="B722" s="162"/>
      <c r="C722" s="162"/>
      <c r="D722" s="162"/>
      <c r="E722" s="160"/>
      <c r="F722" s="168"/>
      <c r="G722" s="162"/>
      <c r="H722" s="162"/>
      <c r="I722" s="162"/>
    </row>
    <row r="723" spans="1:9" ht="12.75" x14ac:dyDescent="0.2">
      <c r="A723" s="168"/>
      <c r="B723" s="162"/>
      <c r="C723" s="162"/>
      <c r="D723" s="162"/>
      <c r="E723" s="160"/>
      <c r="F723" s="168"/>
      <c r="G723" s="162"/>
      <c r="H723" s="162"/>
      <c r="I723" s="162"/>
    </row>
    <row r="724" spans="1:9" ht="12.75" x14ac:dyDescent="0.2">
      <c r="A724" s="168"/>
      <c r="B724" s="162"/>
      <c r="C724" s="162"/>
      <c r="D724" s="162"/>
      <c r="E724" s="160"/>
      <c r="F724" s="168"/>
      <c r="G724" s="162"/>
      <c r="H724" s="162"/>
      <c r="I724" s="162"/>
    </row>
    <row r="725" spans="1:9" ht="12.75" x14ac:dyDescent="0.2">
      <c r="A725" s="168"/>
      <c r="B725" s="162"/>
      <c r="C725" s="162"/>
      <c r="D725" s="162"/>
      <c r="E725" s="160"/>
      <c r="F725" s="168"/>
      <c r="G725" s="162"/>
      <c r="H725" s="162"/>
      <c r="I725" s="162"/>
    </row>
    <row r="726" spans="1:9" ht="12.75" x14ac:dyDescent="0.2">
      <c r="A726" s="168"/>
      <c r="B726" s="162"/>
      <c r="C726" s="162"/>
      <c r="D726" s="162"/>
      <c r="E726" s="160"/>
      <c r="F726" s="168"/>
      <c r="G726" s="162"/>
      <c r="H726" s="162"/>
      <c r="I726" s="162"/>
    </row>
    <row r="727" spans="1:9" ht="12.75" x14ac:dyDescent="0.2">
      <c r="A727" s="168"/>
      <c r="B727" s="162"/>
      <c r="C727" s="162"/>
      <c r="D727" s="162"/>
      <c r="E727" s="160"/>
      <c r="F727" s="168"/>
      <c r="G727" s="162"/>
      <c r="H727" s="162"/>
      <c r="I727" s="162"/>
    </row>
    <row r="728" spans="1:9" ht="12.75" x14ac:dyDescent="0.2">
      <c r="A728" s="168"/>
      <c r="B728" s="162"/>
      <c r="C728" s="162"/>
      <c r="D728" s="162"/>
      <c r="E728" s="160"/>
      <c r="F728" s="168"/>
      <c r="G728" s="162"/>
      <c r="H728" s="162"/>
      <c r="I728" s="162"/>
    </row>
    <row r="729" spans="1:9" ht="12.75" x14ac:dyDescent="0.2">
      <c r="A729" s="168"/>
      <c r="B729" s="162"/>
      <c r="C729" s="162"/>
      <c r="D729" s="162"/>
      <c r="E729" s="160"/>
      <c r="F729" s="168"/>
      <c r="G729" s="162"/>
      <c r="H729" s="162"/>
      <c r="I729" s="162"/>
    </row>
    <row r="730" spans="1:9" ht="12.75" x14ac:dyDescent="0.2">
      <c r="A730" s="168"/>
      <c r="B730" s="162"/>
      <c r="C730" s="162"/>
      <c r="D730" s="162"/>
      <c r="E730" s="160"/>
      <c r="F730" s="168"/>
      <c r="G730" s="162"/>
      <c r="H730" s="162"/>
      <c r="I730" s="162"/>
    </row>
    <row r="731" spans="1:9" ht="12.75" x14ac:dyDescent="0.2">
      <c r="A731" s="168"/>
      <c r="B731" s="162"/>
      <c r="C731" s="162"/>
      <c r="D731" s="162"/>
      <c r="E731" s="160"/>
      <c r="F731" s="168"/>
      <c r="G731" s="162"/>
      <c r="H731" s="162"/>
      <c r="I731" s="162"/>
    </row>
    <row r="732" spans="1:9" ht="12.75" x14ac:dyDescent="0.2">
      <c r="A732" s="168"/>
      <c r="B732" s="162"/>
      <c r="C732" s="162"/>
      <c r="D732" s="162"/>
      <c r="E732" s="160"/>
      <c r="F732" s="168"/>
      <c r="G732" s="162"/>
      <c r="H732" s="162"/>
      <c r="I732" s="162"/>
    </row>
    <row r="733" spans="1:9" ht="12.75" x14ac:dyDescent="0.2">
      <c r="A733" s="168"/>
      <c r="B733" s="162"/>
      <c r="C733" s="162"/>
      <c r="D733" s="162"/>
      <c r="E733" s="160"/>
      <c r="F733" s="168"/>
      <c r="G733" s="162"/>
      <c r="H733" s="162"/>
      <c r="I733" s="162"/>
    </row>
    <row r="734" spans="1:9" ht="12.75" x14ac:dyDescent="0.2">
      <c r="A734" s="168"/>
      <c r="B734" s="162"/>
      <c r="C734" s="162"/>
      <c r="D734" s="162"/>
      <c r="E734" s="160"/>
      <c r="F734" s="168"/>
      <c r="G734" s="162"/>
      <c r="H734" s="162"/>
      <c r="I734" s="162"/>
    </row>
    <row r="735" spans="1:9" ht="12.75" x14ac:dyDescent="0.2">
      <c r="A735" s="168"/>
      <c r="B735" s="162"/>
      <c r="C735" s="162"/>
      <c r="D735" s="162"/>
      <c r="E735" s="160"/>
      <c r="F735" s="168"/>
      <c r="G735" s="162"/>
      <c r="H735" s="162"/>
      <c r="I735" s="162"/>
    </row>
    <row r="736" spans="1:9" ht="12.75" x14ac:dyDescent="0.2">
      <c r="A736" s="168"/>
      <c r="B736" s="162"/>
      <c r="C736" s="162"/>
      <c r="D736" s="162"/>
      <c r="E736" s="160"/>
      <c r="F736" s="168"/>
      <c r="G736" s="162"/>
      <c r="H736" s="162"/>
      <c r="I736" s="162"/>
    </row>
    <row r="737" spans="1:9" ht="12.75" x14ac:dyDescent="0.2">
      <c r="A737" s="168"/>
      <c r="B737" s="162"/>
      <c r="C737" s="162"/>
      <c r="D737" s="162"/>
      <c r="E737" s="160"/>
      <c r="F737" s="168"/>
      <c r="G737" s="162"/>
      <c r="H737" s="162"/>
      <c r="I737" s="162"/>
    </row>
    <row r="738" spans="1:9" ht="12.75" x14ac:dyDescent="0.2">
      <c r="A738" s="168"/>
      <c r="B738" s="162"/>
      <c r="C738" s="162"/>
      <c r="D738" s="162"/>
      <c r="E738" s="160"/>
      <c r="F738" s="168"/>
      <c r="G738" s="162"/>
      <c r="H738" s="162"/>
      <c r="I738" s="162"/>
    </row>
    <row r="739" spans="1:9" ht="12.75" x14ac:dyDescent="0.2">
      <c r="A739" s="168"/>
      <c r="B739" s="162"/>
      <c r="C739" s="162"/>
      <c r="D739" s="162"/>
      <c r="E739" s="160"/>
      <c r="F739" s="168"/>
      <c r="G739" s="162"/>
      <c r="H739" s="162"/>
      <c r="I739" s="162"/>
    </row>
    <row r="740" spans="1:9" ht="12.75" x14ac:dyDescent="0.2">
      <c r="A740" s="168"/>
      <c r="B740" s="162"/>
      <c r="C740" s="162"/>
      <c r="D740" s="162"/>
      <c r="E740" s="160"/>
      <c r="F740" s="168"/>
      <c r="G740" s="162"/>
      <c r="H740" s="162"/>
      <c r="I740" s="162"/>
    </row>
    <row r="741" spans="1:9" ht="12.75" x14ac:dyDescent="0.2">
      <c r="A741" s="168"/>
      <c r="B741" s="162"/>
      <c r="C741" s="162"/>
      <c r="D741" s="162"/>
      <c r="E741" s="160"/>
      <c r="F741" s="168"/>
      <c r="G741" s="162"/>
      <c r="H741" s="162"/>
      <c r="I741" s="162"/>
    </row>
    <row r="742" spans="1:9" ht="12.75" x14ac:dyDescent="0.2">
      <c r="A742" s="168"/>
      <c r="B742" s="162"/>
      <c r="C742" s="162"/>
      <c r="D742" s="162"/>
      <c r="E742" s="160"/>
      <c r="F742" s="168"/>
      <c r="G742" s="162"/>
      <c r="H742" s="162"/>
      <c r="I742" s="162"/>
    </row>
    <row r="743" spans="1:9" ht="12.75" x14ac:dyDescent="0.2">
      <c r="A743" s="168"/>
      <c r="B743" s="162"/>
      <c r="C743" s="162"/>
      <c r="D743" s="162"/>
      <c r="E743" s="160"/>
      <c r="F743" s="168"/>
      <c r="G743" s="162"/>
      <c r="H743" s="162"/>
      <c r="I743" s="162"/>
    </row>
    <row r="744" spans="1:9" ht="12.75" x14ac:dyDescent="0.2">
      <c r="A744" s="168"/>
      <c r="B744" s="162"/>
      <c r="C744" s="162"/>
      <c r="D744" s="162"/>
      <c r="E744" s="160"/>
      <c r="F744" s="168"/>
      <c r="G744" s="162"/>
      <c r="H744" s="162"/>
      <c r="I744" s="162"/>
    </row>
    <row r="745" spans="1:9" ht="12.75" x14ac:dyDescent="0.2">
      <c r="A745" s="168"/>
      <c r="B745" s="162"/>
      <c r="C745" s="162"/>
      <c r="D745" s="162"/>
      <c r="E745" s="160"/>
      <c r="F745" s="168"/>
      <c r="G745" s="162"/>
      <c r="H745" s="162"/>
      <c r="I745" s="162"/>
    </row>
    <row r="746" spans="1:9" ht="12.75" x14ac:dyDescent="0.2">
      <c r="A746" s="168"/>
      <c r="B746" s="162"/>
      <c r="C746" s="162"/>
      <c r="D746" s="162"/>
      <c r="E746" s="160"/>
      <c r="F746" s="168"/>
      <c r="G746" s="162"/>
      <c r="H746" s="162"/>
      <c r="I746" s="162"/>
    </row>
    <row r="747" spans="1:9" ht="12.75" x14ac:dyDescent="0.2">
      <c r="A747" s="168"/>
      <c r="B747" s="162"/>
      <c r="C747" s="162"/>
      <c r="D747" s="162"/>
      <c r="E747" s="160"/>
      <c r="F747" s="168"/>
      <c r="G747" s="162"/>
      <c r="H747" s="162"/>
      <c r="I747" s="162"/>
    </row>
    <row r="748" spans="1:9" ht="12.75" x14ac:dyDescent="0.2">
      <c r="A748" s="168"/>
      <c r="B748" s="162"/>
      <c r="C748" s="162"/>
      <c r="D748" s="162"/>
      <c r="E748" s="160"/>
      <c r="F748" s="168"/>
      <c r="G748" s="162"/>
      <c r="H748" s="162"/>
      <c r="I748" s="162"/>
    </row>
    <row r="749" spans="1:9" ht="12.75" x14ac:dyDescent="0.2">
      <c r="A749" s="168"/>
      <c r="B749" s="162"/>
      <c r="C749" s="162"/>
      <c r="D749" s="162"/>
      <c r="E749" s="160"/>
      <c r="F749" s="168"/>
      <c r="G749" s="162"/>
      <c r="H749" s="162"/>
      <c r="I749" s="162"/>
    </row>
    <row r="750" spans="1:9" ht="12.75" x14ac:dyDescent="0.2">
      <c r="A750" s="168"/>
      <c r="B750" s="162"/>
      <c r="C750" s="162"/>
      <c r="D750" s="162"/>
      <c r="E750" s="160"/>
      <c r="F750" s="168"/>
      <c r="G750" s="162"/>
      <c r="H750" s="162"/>
      <c r="I750" s="162"/>
    </row>
    <row r="751" spans="1:9" ht="12.75" x14ac:dyDescent="0.2">
      <c r="A751" s="168"/>
      <c r="B751" s="162"/>
      <c r="C751" s="162"/>
      <c r="D751" s="162"/>
      <c r="E751" s="160"/>
      <c r="F751" s="168"/>
      <c r="G751" s="162"/>
      <c r="H751" s="162"/>
      <c r="I751" s="162"/>
    </row>
    <row r="752" spans="1:9" ht="12.75" x14ac:dyDescent="0.2">
      <c r="A752" s="168"/>
      <c r="B752" s="162"/>
      <c r="C752" s="162"/>
      <c r="D752" s="162"/>
      <c r="E752" s="160"/>
      <c r="F752" s="168"/>
      <c r="G752" s="162"/>
      <c r="H752" s="162"/>
      <c r="I752" s="162"/>
    </row>
    <row r="753" spans="1:9" ht="12.75" x14ac:dyDescent="0.2">
      <c r="A753" s="168"/>
      <c r="B753" s="162"/>
      <c r="C753" s="162"/>
      <c r="D753" s="162"/>
      <c r="E753" s="160"/>
      <c r="F753" s="168"/>
      <c r="G753" s="162"/>
      <c r="H753" s="162"/>
      <c r="I753" s="162"/>
    </row>
    <row r="754" spans="1:9" ht="12.75" x14ac:dyDescent="0.2">
      <c r="A754" s="168"/>
      <c r="B754" s="162"/>
      <c r="C754" s="162"/>
      <c r="D754" s="162"/>
      <c r="E754" s="160"/>
      <c r="F754" s="168"/>
      <c r="G754" s="162"/>
      <c r="H754" s="162"/>
      <c r="I754" s="162"/>
    </row>
    <row r="755" spans="1:9" ht="12.75" x14ac:dyDescent="0.2">
      <c r="A755" s="168"/>
      <c r="B755" s="162"/>
      <c r="C755" s="162"/>
      <c r="D755" s="162"/>
      <c r="E755" s="160"/>
      <c r="F755" s="168"/>
      <c r="G755" s="162"/>
      <c r="H755" s="162"/>
      <c r="I755" s="162"/>
    </row>
    <row r="756" spans="1:9" ht="12.75" x14ac:dyDescent="0.2">
      <c r="A756" s="168"/>
      <c r="B756" s="162"/>
      <c r="C756" s="162"/>
      <c r="D756" s="162"/>
      <c r="E756" s="160"/>
      <c r="F756" s="168"/>
      <c r="G756" s="162"/>
      <c r="H756" s="162"/>
      <c r="I756" s="162"/>
    </row>
    <row r="757" spans="1:9" ht="12.75" x14ac:dyDescent="0.2">
      <c r="A757" s="168"/>
      <c r="B757" s="162"/>
      <c r="C757" s="162"/>
      <c r="D757" s="162"/>
      <c r="E757" s="160"/>
      <c r="F757" s="168"/>
      <c r="G757" s="162"/>
      <c r="H757" s="162"/>
      <c r="I757" s="162"/>
    </row>
    <row r="758" spans="1:9" ht="12.75" x14ac:dyDescent="0.2">
      <c r="A758" s="168"/>
      <c r="B758" s="162"/>
      <c r="C758" s="162"/>
      <c r="D758" s="162"/>
      <c r="E758" s="160"/>
      <c r="F758" s="168"/>
      <c r="G758" s="162"/>
      <c r="H758" s="162"/>
      <c r="I758" s="162"/>
    </row>
    <row r="759" spans="1:9" ht="12.75" x14ac:dyDescent="0.2">
      <c r="A759" s="168"/>
      <c r="B759" s="162"/>
      <c r="C759" s="162"/>
      <c r="D759" s="162"/>
      <c r="E759" s="160"/>
      <c r="F759" s="168"/>
      <c r="G759" s="162"/>
      <c r="H759" s="162"/>
      <c r="I759" s="162"/>
    </row>
    <row r="760" spans="1:9" ht="12.75" x14ac:dyDescent="0.2">
      <c r="A760" s="168"/>
      <c r="B760" s="162"/>
      <c r="C760" s="162"/>
      <c r="D760" s="162"/>
      <c r="E760" s="160"/>
      <c r="F760" s="168"/>
      <c r="G760" s="162"/>
      <c r="H760" s="162"/>
      <c r="I760" s="162"/>
    </row>
    <row r="761" spans="1:9" ht="12.75" x14ac:dyDescent="0.2">
      <c r="A761" s="168"/>
      <c r="B761" s="162"/>
      <c r="C761" s="162"/>
      <c r="D761" s="162"/>
      <c r="E761" s="160"/>
      <c r="F761" s="168"/>
      <c r="G761" s="162"/>
      <c r="H761" s="162"/>
      <c r="I761" s="162"/>
    </row>
    <row r="762" spans="1:9" ht="12.75" x14ac:dyDescent="0.2">
      <c r="A762" s="168"/>
      <c r="B762" s="162"/>
      <c r="C762" s="162"/>
      <c r="D762" s="162"/>
      <c r="E762" s="160"/>
      <c r="F762" s="168"/>
      <c r="G762" s="162"/>
      <c r="H762" s="162"/>
      <c r="I762" s="162"/>
    </row>
    <row r="763" spans="1:9" ht="12.75" x14ac:dyDescent="0.2">
      <c r="A763" s="168"/>
      <c r="B763" s="162"/>
      <c r="C763" s="162"/>
      <c r="D763" s="162"/>
      <c r="E763" s="160"/>
      <c r="F763" s="168"/>
      <c r="G763" s="162"/>
      <c r="H763" s="162"/>
      <c r="I763" s="162"/>
    </row>
    <row r="764" spans="1:9" ht="12.75" x14ac:dyDescent="0.2">
      <c r="A764" s="168"/>
      <c r="B764" s="162"/>
      <c r="C764" s="162"/>
      <c r="D764" s="162"/>
      <c r="E764" s="160"/>
      <c r="F764" s="168"/>
      <c r="G764" s="162"/>
      <c r="H764" s="162"/>
      <c r="I764" s="162"/>
    </row>
    <row r="765" spans="1:9" ht="12.75" x14ac:dyDescent="0.2">
      <c r="A765" s="168"/>
      <c r="B765" s="162"/>
      <c r="C765" s="162"/>
      <c r="D765" s="162"/>
      <c r="E765" s="160"/>
      <c r="F765" s="168"/>
      <c r="G765" s="162"/>
      <c r="H765" s="162"/>
      <c r="I765" s="162"/>
    </row>
    <row r="766" spans="1:9" ht="12.75" x14ac:dyDescent="0.2">
      <c r="A766" s="168"/>
      <c r="B766" s="162"/>
      <c r="C766" s="162"/>
      <c r="D766" s="162"/>
      <c r="E766" s="160"/>
      <c r="F766" s="168"/>
      <c r="G766" s="162"/>
      <c r="H766" s="162"/>
      <c r="I766" s="162"/>
    </row>
    <row r="767" spans="1:9" ht="12.75" x14ac:dyDescent="0.2">
      <c r="A767" s="168"/>
      <c r="B767" s="162"/>
      <c r="C767" s="162"/>
      <c r="D767" s="162"/>
      <c r="E767" s="160"/>
      <c r="F767" s="168"/>
      <c r="G767" s="162"/>
      <c r="H767" s="162"/>
      <c r="I767" s="162"/>
    </row>
    <row r="768" spans="1:9" ht="12.75" x14ac:dyDescent="0.2">
      <c r="A768" s="168"/>
      <c r="B768" s="162"/>
      <c r="C768" s="162"/>
      <c r="D768" s="162"/>
      <c r="E768" s="160"/>
      <c r="F768" s="168"/>
      <c r="G768" s="162"/>
      <c r="H768" s="162"/>
      <c r="I768" s="162"/>
    </row>
    <row r="769" spans="1:9" ht="12.75" x14ac:dyDescent="0.2">
      <c r="A769" s="168"/>
      <c r="B769" s="162"/>
      <c r="C769" s="162"/>
      <c r="D769" s="162"/>
      <c r="E769" s="160"/>
      <c r="F769" s="168"/>
      <c r="G769" s="162"/>
      <c r="H769" s="162"/>
      <c r="I769" s="162"/>
    </row>
    <row r="770" spans="1:9" ht="12.75" x14ac:dyDescent="0.2">
      <c r="A770" s="168"/>
      <c r="B770" s="162"/>
      <c r="C770" s="162"/>
      <c r="D770" s="162"/>
      <c r="E770" s="160"/>
      <c r="F770" s="168"/>
      <c r="G770" s="162"/>
      <c r="H770" s="162"/>
      <c r="I770" s="162"/>
    </row>
    <row r="771" spans="1:9" ht="12.75" x14ac:dyDescent="0.2">
      <c r="A771" s="168"/>
      <c r="B771" s="162"/>
      <c r="C771" s="162"/>
      <c r="D771" s="162"/>
      <c r="E771" s="160"/>
      <c r="F771" s="168"/>
      <c r="G771" s="162"/>
      <c r="H771" s="162"/>
      <c r="I771" s="162"/>
    </row>
    <row r="772" spans="1:9" ht="12.75" x14ac:dyDescent="0.2">
      <c r="A772" s="168"/>
      <c r="B772" s="162"/>
      <c r="C772" s="162"/>
      <c r="D772" s="162"/>
      <c r="E772" s="160"/>
      <c r="F772" s="168"/>
      <c r="G772" s="162"/>
      <c r="H772" s="162"/>
      <c r="I772" s="162"/>
    </row>
    <row r="773" spans="1:9" ht="12.75" x14ac:dyDescent="0.2">
      <c r="A773" s="168"/>
      <c r="B773" s="162"/>
      <c r="C773" s="162"/>
      <c r="D773" s="162"/>
      <c r="E773" s="160"/>
      <c r="F773" s="168"/>
      <c r="G773" s="162"/>
      <c r="H773" s="162"/>
      <c r="I773" s="162"/>
    </row>
    <row r="774" spans="1:9" ht="12.75" x14ac:dyDescent="0.2">
      <c r="A774" s="168"/>
      <c r="B774" s="162"/>
      <c r="C774" s="162"/>
      <c r="D774" s="162"/>
      <c r="E774" s="160"/>
      <c r="F774" s="168"/>
      <c r="G774" s="162"/>
      <c r="H774" s="162"/>
      <c r="I774" s="162"/>
    </row>
    <row r="775" spans="1:9" ht="12.75" x14ac:dyDescent="0.2">
      <c r="A775" s="168"/>
      <c r="B775" s="162"/>
      <c r="C775" s="162"/>
      <c r="D775" s="162"/>
      <c r="E775" s="160"/>
      <c r="F775" s="168"/>
      <c r="G775" s="162"/>
      <c r="H775" s="162"/>
      <c r="I775" s="162"/>
    </row>
    <row r="776" spans="1:9" ht="12.75" x14ac:dyDescent="0.2">
      <c r="A776" s="168"/>
      <c r="B776" s="162"/>
      <c r="C776" s="162"/>
      <c r="D776" s="162"/>
      <c r="E776" s="160"/>
      <c r="F776" s="168"/>
      <c r="G776" s="162"/>
      <c r="H776" s="162"/>
      <c r="I776" s="162"/>
    </row>
    <row r="777" spans="1:9" ht="12.75" x14ac:dyDescent="0.2">
      <c r="A777" s="168"/>
      <c r="B777" s="162"/>
      <c r="C777" s="162"/>
      <c r="D777" s="162"/>
      <c r="E777" s="160"/>
      <c r="F777" s="168"/>
      <c r="G777" s="162"/>
      <c r="H777" s="162"/>
      <c r="I777" s="162"/>
    </row>
    <row r="778" spans="1:9" ht="12.75" x14ac:dyDescent="0.2">
      <c r="A778" s="168"/>
      <c r="B778" s="162"/>
      <c r="C778" s="162"/>
      <c r="D778" s="162"/>
      <c r="E778" s="160"/>
      <c r="F778" s="168"/>
      <c r="G778" s="162"/>
      <c r="H778" s="162"/>
      <c r="I778" s="162"/>
    </row>
    <row r="779" spans="1:9" ht="12.75" x14ac:dyDescent="0.2">
      <c r="A779" s="168"/>
      <c r="B779" s="162"/>
      <c r="C779" s="162"/>
      <c r="D779" s="162"/>
      <c r="E779" s="160"/>
      <c r="F779" s="168"/>
      <c r="G779" s="162"/>
      <c r="H779" s="162"/>
      <c r="I779" s="162"/>
    </row>
    <row r="780" spans="1:9" ht="12.75" x14ac:dyDescent="0.2">
      <c r="A780" s="168"/>
      <c r="B780" s="162"/>
      <c r="C780" s="162"/>
      <c r="D780" s="162"/>
      <c r="E780" s="160"/>
      <c r="F780" s="168"/>
      <c r="G780" s="162"/>
      <c r="H780" s="162"/>
      <c r="I780" s="162"/>
    </row>
    <row r="781" spans="1:9" ht="12.75" x14ac:dyDescent="0.2">
      <c r="A781" s="168"/>
      <c r="B781" s="162"/>
      <c r="C781" s="162"/>
      <c r="D781" s="162"/>
      <c r="E781" s="160"/>
      <c r="F781" s="168"/>
      <c r="G781" s="162"/>
      <c r="H781" s="162"/>
      <c r="I781" s="162"/>
    </row>
    <row r="782" spans="1:9" ht="12.75" x14ac:dyDescent="0.2">
      <c r="A782" s="168"/>
      <c r="B782" s="162"/>
      <c r="C782" s="162"/>
      <c r="D782" s="162"/>
      <c r="E782" s="160"/>
      <c r="F782" s="168"/>
      <c r="G782" s="162"/>
      <c r="H782" s="162"/>
      <c r="I782" s="162"/>
    </row>
    <row r="783" spans="1:9" ht="12.75" x14ac:dyDescent="0.2">
      <c r="A783" s="168"/>
      <c r="B783" s="162"/>
      <c r="C783" s="162"/>
      <c r="D783" s="162"/>
      <c r="E783" s="160"/>
      <c r="F783" s="168"/>
      <c r="G783" s="162"/>
      <c r="H783" s="162"/>
      <c r="I783" s="162"/>
    </row>
    <row r="784" spans="1:9" ht="12.75" x14ac:dyDescent="0.2">
      <c r="A784" s="168"/>
      <c r="B784" s="162"/>
      <c r="C784" s="162"/>
      <c r="D784" s="162"/>
      <c r="E784" s="160"/>
      <c r="F784" s="168"/>
      <c r="G784" s="162"/>
      <c r="H784" s="162"/>
      <c r="I784" s="162"/>
    </row>
    <row r="785" spans="1:9" ht="12.75" x14ac:dyDescent="0.2">
      <c r="A785" s="168"/>
      <c r="B785" s="162"/>
      <c r="C785" s="162"/>
      <c r="D785" s="162"/>
      <c r="E785" s="160"/>
      <c r="F785" s="168"/>
      <c r="G785" s="162"/>
      <c r="H785" s="162"/>
      <c r="I785" s="162"/>
    </row>
    <row r="786" spans="1:9" ht="12.75" x14ac:dyDescent="0.2">
      <c r="A786" s="168"/>
      <c r="B786" s="162"/>
      <c r="C786" s="162"/>
      <c r="D786" s="162"/>
      <c r="E786" s="160"/>
      <c r="F786" s="168"/>
      <c r="G786" s="162"/>
      <c r="H786" s="162"/>
      <c r="I786" s="162"/>
    </row>
    <row r="787" spans="1:9" ht="12.75" x14ac:dyDescent="0.2">
      <c r="A787" s="168"/>
      <c r="B787" s="162"/>
      <c r="C787" s="162"/>
      <c r="D787" s="162"/>
      <c r="E787" s="160"/>
      <c r="F787" s="168"/>
      <c r="G787" s="162"/>
      <c r="H787" s="162"/>
      <c r="I787" s="162"/>
    </row>
    <row r="788" spans="1:9" ht="12.75" x14ac:dyDescent="0.2">
      <c r="A788" s="168"/>
      <c r="B788" s="162"/>
      <c r="C788" s="162"/>
      <c r="D788" s="162"/>
      <c r="E788" s="160"/>
      <c r="F788" s="168"/>
      <c r="G788" s="162"/>
      <c r="H788" s="162"/>
      <c r="I788" s="162"/>
    </row>
    <row r="789" spans="1:9" ht="12.75" x14ac:dyDescent="0.2">
      <c r="A789" s="168"/>
      <c r="B789" s="162"/>
      <c r="C789" s="162"/>
      <c r="D789" s="162"/>
      <c r="E789" s="160"/>
      <c r="F789" s="168"/>
      <c r="G789" s="162"/>
      <c r="H789" s="162"/>
      <c r="I789" s="162"/>
    </row>
    <row r="790" spans="1:9" ht="12.75" x14ac:dyDescent="0.2">
      <c r="A790" s="168"/>
      <c r="B790" s="162"/>
      <c r="C790" s="162"/>
      <c r="D790" s="162"/>
      <c r="E790" s="160"/>
      <c r="F790" s="168"/>
      <c r="G790" s="162"/>
      <c r="H790" s="162"/>
      <c r="I790" s="162"/>
    </row>
    <row r="791" spans="1:9" ht="12.75" x14ac:dyDescent="0.2">
      <c r="A791" s="168"/>
      <c r="B791" s="162"/>
      <c r="C791" s="162"/>
      <c r="D791" s="162"/>
      <c r="E791" s="160"/>
      <c r="F791" s="168"/>
      <c r="G791" s="162"/>
      <c r="H791" s="162"/>
      <c r="I791" s="162"/>
    </row>
    <row r="792" spans="1:9" ht="12.75" x14ac:dyDescent="0.2">
      <c r="A792" s="168"/>
      <c r="B792" s="162"/>
      <c r="C792" s="162"/>
      <c r="D792" s="162"/>
      <c r="E792" s="160"/>
      <c r="F792" s="168"/>
      <c r="G792" s="162"/>
      <c r="H792" s="162"/>
      <c r="I792" s="162"/>
    </row>
    <row r="793" spans="1:9" ht="12.75" x14ac:dyDescent="0.2">
      <c r="A793" s="168"/>
      <c r="B793" s="162"/>
      <c r="C793" s="162"/>
      <c r="D793" s="162"/>
      <c r="E793" s="160"/>
      <c r="F793" s="168"/>
      <c r="G793" s="162"/>
      <c r="H793" s="162"/>
      <c r="I793" s="162"/>
    </row>
    <row r="794" spans="1:9" ht="12.75" x14ac:dyDescent="0.2">
      <c r="A794" s="168"/>
      <c r="B794" s="162"/>
      <c r="C794" s="162"/>
      <c r="D794" s="162"/>
      <c r="E794" s="160"/>
      <c r="F794" s="168"/>
      <c r="G794" s="162"/>
      <c r="H794" s="162"/>
      <c r="I794" s="162"/>
    </row>
    <row r="795" spans="1:9" ht="12.75" x14ac:dyDescent="0.2">
      <c r="A795" s="168"/>
      <c r="B795" s="162"/>
      <c r="C795" s="162"/>
      <c r="D795" s="162"/>
      <c r="E795" s="160"/>
      <c r="F795" s="168"/>
      <c r="G795" s="162"/>
      <c r="H795" s="162"/>
      <c r="I795" s="162"/>
    </row>
    <row r="796" spans="1:9" ht="12.75" x14ac:dyDescent="0.2">
      <c r="A796" s="168"/>
      <c r="B796" s="162"/>
      <c r="C796" s="162"/>
      <c r="D796" s="162"/>
      <c r="E796" s="160"/>
      <c r="F796" s="168"/>
      <c r="G796" s="162"/>
      <c r="H796" s="162"/>
      <c r="I796" s="162"/>
    </row>
    <row r="797" spans="1:9" ht="12.75" x14ac:dyDescent="0.2">
      <c r="A797" s="168"/>
      <c r="B797" s="162"/>
      <c r="C797" s="162"/>
      <c r="D797" s="162"/>
      <c r="E797" s="160"/>
      <c r="F797" s="168"/>
      <c r="G797" s="162"/>
      <c r="H797" s="162"/>
      <c r="I797" s="162"/>
    </row>
    <row r="798" spans="1:9" ht="12.75" x14ac:dyDescent="0.2">
      <c r="A798" s="168"/>
      <c r="B798" s="162"/>
      <c r="C798" s="162"/>
      <c r="D798" s="162"/>
      <c r="E798" s="160"/>
      <c r="F798" s="168"/>
      <c r="G798" s="162"/>
      <c r="H798" s="162"/>
      <c r="I798" s="162"/>
    </row>
    <row r="799" spans="1:9" ht="12.75" x14ac:dyDescent="0.2">
      <c r="A799" s="168"/>
      <c r="B799" s="162"/>
      <c r="C799" s="162"/>
      <c r="D799" s="162"/>
      <c r="E799" s="160"/>
      <c r="F799" s="168"/>
      <c r="G799" s="162"/>
      <c r="H799" s="162"/>
      <c r="I799" s="162"/>
    </row>
    <row r="800" spans="1:9" ht="12.75" x14ac:dyDescent="0.2">
      <c r="A800" s="168"/>
      <c r="B800" s="162"/>
      <c r="C800" s="162"/>
      <c r="D800" s="162"/>
      <c r="E800" s="160"/>
      <c r="F800" s="168"/>
      <c r="G800" s="162"/>
      <c r="H800" s="162"/>
      <c r="I800" s="162"/>
    </row>
    <row r="801" spans="1:9" ht="12.75" x14ac:dyDescent="0.2">
      <c r="A801" s="168"/>
      <c r="B801" s="162"/>
      <c r="C801" s="162"/>
      <c r="D801" s="162"/>
      <c r="E801" s="160"/>
      <c r="F801" s="168"/>
      <c r="G801" s="162"/>
      <c r="H801" s="162"/>
      <c r="I801" s="162"/>
    </row>
    <row r="802" spans="1:9" ht="12.75" x14ac:dyDescent="0.2">
      <c r="A802" s="168"/>
      <c r="B802" s="162"/>
      <c r="C802" s="162"/>
      <c r="D802" s="162"/>
      <c r="E802" s="160"/>
      <c r="F802" s="168"/>
      <c r="G802" s="162"/>
      <c r="H802" s="162"/>
      <c r="I802" s="162"/>
    </row>
    <row r="803" spans="1:9" ht="12.75" x14ac:dyDescent="0.2">
      <c r="A803" s="168"/>
      <c r="B803" s="162"/>
      <c r="C803" s="162"/>
      <c r="D803" s="162"/>
      <c r="E803" s="160"/>
      <c r="F803" s="168"/>
      <c r="G803" s="162"/>
      <c r="H803" s="162"/>
      <c r="I803" s="162"/>
    </row>
    <row r="804" spans="1:9" ht="12.75" x14ac:dyDescent="0.2">
      <c r="A804" s="168"/>
      <c r="B804" s="162"/>
      <c r="C804" s="162"/>
      <c r="D804" s="162"/>
      <c r="E804" s="160"/>
      <c r="F804" s="168"/>
      <c r="G804" s="162"/>
      <c r="H804" s="162"/>
      <c r="I804" s="162"/>
    </row>
    <row r="805" spans="1:9" ht="12.75" x14ac:dyDescent="0.2">
      <c r="A805" s="168"/>
      <c r="B805" s="162"/>
      <c r="C805" s="162"/>
      <c r="D805" s="162"/>
      <c r="E805" s="160"/>
      <c r="F805" s="168"/>
      <c r="G805" s="162"/>
      <c r="H805" s="162"/>
      <c r="I805" s="162"/>
    </row>
    <row r="806" spans="1:9" ht="12.75" x14ac:dyDescent="0.2">
      <c r="A806" s="168"/>
      <c r="B806" s="162"/>
      <c r="C806" s="162"/>
      <c r="D806" s="162"/>
      <c r="E806" s="160"/>
      <c r="F806" s="168"/>
      <c r="G806" s="162"/>
      <c r="H806" s="162"/>
      <c r="I806" s="162"/>
    </row>
    <row r="807" spans="1:9" ht="12.75" x14ac:dyDescent="0.2">
      <c r="A807" s="168"/>
      <c r="B807" s="162"/>
      <c r="C807" s="162"/>
      <c r="D807" s="162"/>
      <c r="E807" s="160"/>
      <c r="F807" s="168"/>
      <c r="G807" s="162"/>
      <c r="H807" s="162"/>
      <c r="I807" s="162"/>
    </row>
    <row r="808" spans="1:9" ht="12.75" x14ac:dyDescent="0.2">
      <c r="A808" s="168"/>
      <c r="B808" s="162"/>
      <c r="C808" s="162"/>
      <c r="D808" s="162"/>
      <c r="E808" s="160"/>
      <c r="F808" s="168"/>
      <c r="G808" s="162"/>
      <c r="H808" s="162"/>
      <c r="I808" s="162"/>
    </row>
    <row r="809" spans="1:9" ht="12.75" x14ac:dyDescent="0.2">
      <c r="A809" s="168"/>
      <c r="B809" s="162"/>
      <c r="C809" s="162"/>
      <c r="D809" s="162"/>
      <c r="E809" s="160"/>
      <c r="F809" s="168"/>
      <c r="G809" s="162"/>
      <c r="H809" s="162"/>
      <c r="I809" s="162"/>
    </row>
    <row r="810" spans="1:9" ht="12.75" x14ac:dyDescent="0.2">
      <c r="A810" s="168"/>
      <c r="B810" s="162"/>
      <c r="C810" s="162"/>
      <c r="D810" s="162"/>
      <c r="E810" s="160"/>
      <c r="F810" s="168"/>
      <c r="G810" s="162"/>
      <c r="H810" s="162"/>
      <c r="I810" s="162"/>
    </row>
    <row r="811" spans="1:9" ht="12.75" x14ac:dyDescent="0.2">
      <c r="A811" s="168"/>
      <c r="B811" s="162"/>
      <c r="C811" s="162"/>
      <c r="D811" s="162"/>
      <c r="E811" s="160"/>
      <c r="F811" s="168"/>
      <c r="G811" s="162"/>
      <c r="H811" s="162"/>
      <c r="I811" s="162"/>
    </row>
    <row r="812" spans="1:9" ht="12.75" x14ac:dyDescent="0.2">
      <c r="A812" s="168"/>
      <c r="B812" s="162"/>
      <c r="C812" s="162"/>
      <c r="D812" s="162"/>
      <c r="E812" s="160"/>
      <c r="F812" s="168"/>
      <c r="G812" s="162"/>
      <c r="H812" s="162"/>
      <c r="I812" s="162"/>
    </row>
    <row r="813" spans="1:9" ht="12.75" x14ac:dyDescent="0.2">
      <c r="A813" s="168"/>
      <c r="B813" s="162"/>
      <c r="C813" s="162"/>
      <c r="D813" s="162"/>
      <c r="E813" s="160"/>
      <c r="F813" s="168"/>
      <c r="G813" s="162"/>
      <c r="H813" s="162"/>
      <c r="I813" s="162"/>
    </row>
    <row r="814" spans="1:9" ht="12.75" x14ac:dyDescent="0.2">
      <c r="A814" s="168"/>
      <c r="B814" s="162"/>
      <c r="C814" s="162"/>
      <c r="D814" s="162"/>
      <c r="E814" s="160"/>
      <c r="F814" s="168"/>
      <c r="G814" s="162"/>
      <c r="H814" s="162"/>
      <c r="I814" s="162"/>
    </row>
    <row r="815" spans="1:9" ht="12.75" x14ac:dyDescent="0.2">
      <c r="A815" s="168"/>
      <c r="B815" s="162"/>
      <c r="C815" s="162"/>
      <c r="D815" s="162"/>
      <c r="E815" s="160"/>
      <c r="F815" s="168"/>
      <c r="G815" s="162"/>
      <c r="H815" s="162"/>
      <c r="I815" s="162"/>
    </row>
    <row r="816" spans="1:9" ht="12.75" x14ac:dyDescent="0.2">
      <c r="A816" s="168"/>
      <c r="B816" s="162"/>
      <c r="C816" s="162"/>
      <c r="D816" s="162"/>
      <c r="E816" s="160"/>
      <c r="F816" s="168"/>
      <c r="G816" s="162"/>
      <c r="H816" s="162"/>
      <c r="I816" s="162"/>
    </row>
    <row r="817" spans="1:9" ht="12.75" x14ac:dyDescent="0.2">
      <c r="A817" s="168"/>
      <c r="B817" s="162"/>
      <c r="C817" s="162"/>
      <c r="D817" s="162"/>
      <c r="E817" s="160"/>
      <c r="F817" s="168"/>
      <c r="G817" s="162"/>
      <c r="H817" s="162"/>
      <c r="I817" s="162"/>
    </row>
    <row r="818" spans="1:9" ht="12.75" x14ac:dyDescent="0.2">
      <c r="A818" s="168"/>
      <c r="B818" s="162"/>
      <c r="C818" s="162"/>
      <c r="D818" s="162"/>
      <c r="E818" s="160"/>
      <c r="F818" s="168"/>
      <c r="G818" s="162"/>
      <c r="H818" s="162"/>
      <c r="I818" s="162"/>
    </row>
    <row r="819" spans="1:9" ht="12.75" x14ac:dyDescent="0.2">
      <c r="A819" s="168"/>
      <c r="B819" s="162"/>
      <c r="C819" s="162"/>
      <c r="D819" s="162"/>
      <c r="E819" s="160"/>
      <c r="F819" s="168"/>
      <c r="G819" s="162"/>
      <c r="H819" s="162"/>
      <c r="I819" s="162"/>
    </row>
    <row r="820" spans="1:9" ht="12.75" x14ac:dyDescent="0.2">
      <c r="A820" s="168"/>
      <c r="B820" s="162"/>
      <c r="C820" s="162"/>
      <c r="D820" s="162"/>
      <c r="E820" s="160"/>
      <c r="F820" s="168"/>
      <c r="G820" s="162"/>
      <c r="H820" s="162"/>
      <c r="I820" s="162"/>
    </row>
    <row r="821" spans="1:9" ht="12.75" x14ac:dyDescent="0.2">
      <c r="A821" s="168"/>
      <c r="B821" s="162"/>
      <c r="C821" s="162"/>
      <c r="D821" s="162"/>
      <c r="E821" s="160"/>
      <c r="F821" s="168"/>
      <c r="G821" s="162"/>
      <c r="H821" s="162"/>
      <c r="I821" s="162"/>
    </row>
    <row r="822" spans="1:9" ht="12.75" x14ac:dyDescent="0.2">
      <c r="A822" s="168"/>
      <c r="B822" s="162"/>
      <c r="C822" s="162"/>
      <c r="D822" s="162"/>
      <c r="E822" s="160"/>
      <c r="F822" s="168"/>
      <c r="G822" s="162"/>
      <c r="H822" s="162"/>
      <c r="I822" s="162"/>
    </row>
    <row r="823" spans="1:9" ht="12.75" x14ac:dyDescent="0.2">
      <c r="A823" s="168"/>
      <c r="B823" s="162"/>
      <c r="C823" s="162"/>
      <c r="D823" s="162"/>
      <c r="E823" s="160"/>
      <c r="F823" s="168"/>
      <c r="G823" s="162"/>
      <c r="H823" s="162"/>
      <c r="I823" s="162"/>
    </row>
    <row r="824" spans="1:9" ht="12.75" x14ac:dyDescent="0.2">
      <c r="A824" s="168"/>
      <c r="B824" s="162"/>
      <c r="C824" s="162"/>
      <c r="D824" s="162"/>
      <c r="E824" s="160"/>
      <c r="F824" s="168"/>
      <c r="G824" s="162"/>
      <c r="H824" s="162"/>
      <c r="I824" s="162"/>
    </row>
    <row r="825" spans="1:9" ht="12.75" x14ac:dyDescent="0.2">
      <c r="A825" s="168"/>
      <c r="B825" s="162"/>
      <c r="C825" s="162"/>
      <c r="D825" s="162"/>
      <c r="E825" s="160"/>
      <c r="F825" s="168"/>
      <c r="G825" s="162"/>
      <c r="H825" s="162"/>
      <c r="I825" s="162"/>
    </row>
    <row r="826" spans="1:9" ht="12.75" x14ac:dyDescent="0.2">
      <c r="A826" s="168"/>
      <c r="B826" s="162"/>
      <c r="C826" s="162"/>
      <c r="D826" s="162"/>
      <c r="E826" s="160"/>
      <c r="F826" s="168"/>
      <c r="G826" s="162"/>
      <c r="H826" s="162"/>
      <c r="I826" s="162"/>
    </row>
    <row r="827" spans="1:9" ht="12.75" x14ac:dyDescent="0.2">
      <c r="A827" s="168"/>
      <c r="B827" s="162"/>
      <c r="C827" s="162"/>
      <c r="D827" s="162"/>
      <c r="E827" s="160"/>
      <c r="F827" s="168"/>
      <c r="G827" s="162"/>
      <c r="H827" s="162"/>
      <c r="I827" s="162"/>
    </row>
    <row r="828" spans="1:9" ht="12.75" x14ac:dyDescent="0.2">
      <c r="A828" s="168"/>
      <c r="B828" s="162"/>
      <c r="C828" s="162"/>
      <c r="D828" s="162"/>
      <c r="E828" s="160"/>
      <c r="F828" s="168"/>
      <c r="G828" s="162"/>
      <c r="H828" s="162"/>
      <c r="I828" s="162"/>
    </row>
    <row r="829" spans="1:9" ht="12.75" x14ac:dyDescent="0.2">
      <c r="A829" s="168"/>
      <c r="B829" s="162"/>
      <c r="C829" s="162"/>
      <c r="D829" s="162"/>
      <c r="E829" s="160"/>
      <c r="F829" s="168"/>
      <c r="G829" s="162"/>
      <c r="H829" s="162"/>
      <c r="I829" s="162"/>
    </row>
    <row r="830" spans="1:9" ht="12.75" x14ac:dyDescent="0.2">
      <c r="A830" s="168"/>
      <c r="B830" s="162"/>
      <c r="C830" s="162"/>
      <c r="D830" s="162"/>
      <c r="E830" s="160"/>
      <c r="F830" s="168"/>
      <c r="G830" s="162"/>
      <c r="H830" s="162"/>
      <c r="I830" s="162"/>
    </row>
    <row r="831" spans="1:9" ht="12.75" x14ac:dyDescent="0.2">
      <c r="A831" s="168"/>
      <c r="B831" s="162"/>
      <c r="C831" s="162"/>
      <c r="D831" s="162"/>
      <c r="E831" s="160"/>
      <c r="F831" s="168"/>
      <c r="G831" s="162"/>
      <c r="H831" s="162"/>
      <c r="I831" s="162"/>
    </row>
    <row r="832" spans="1:9" ht="12.75" x14ac:dyDescent="0.2">
      <c r="A832" s="168"/>
      <c r="B832" s="162"/>
      <c r="C832" s="162"/>
      <c r="D832" s="162"/>
      <c r="E832" s="160"/>
      <c r="F832" s="168"/>
      <c r="G832" s="162"/>
      <c r="H832" s="162"/>
      <c r="I832" s="162"/>
    </row>
    <row r="833" spans="1:9" ht="12.75" x14ac:dyDescent="0.2">
      <c r="A833" s="168"/>
      <c r="B833" s="162"/>
      <c r="C833" s="162"/>
      <c r="D833" s="162"/>
      <c r="E833" s="160"/>
      <c r="F833" s="168"/>
      <c r="G833" s="162"/>
      <c r="H833" s="162"/>
      <c r="I833" s="162"/>
    </row>
    <row r="834" spans="1:9" ht="12.75" x14ac:dyDescent="0.2">
      <c r="A834" s="168"/>
      <c r="B834" s="162"/>
      <c r="C834" s="162"/>
      <c r="D834" s="162"/>
      <c r="E834" s="160"/>
      <c r="F834" s="168"/>
      <c r="G834" s="162"/>
      <c r="H834" s="162"/>
      <c r="I834" s="162"/>
    </row>
    <row r="835" spans="1:9" ht="12.75" x14ac:dyDescent="0.2">
      <c r="A835" s="168"/>
      <c r="B835" s="162"/>
      <c r="C835" s="162"/>
      <c r="D835" s="162"/>
      <c r="E835" s="160"/>
      <c r="F835" s="168"/>
      <c r="G835" s="162"/>
      <c r="H835" s="162"/>
      <c r="I835" s="162"/>
    </row>
    <row r="836" spans="1:9" ht="12.75" x14ac:dyDescent="0.2">
      <c r="A836" s="168"/>
      <c r="B836" s="162"/>
      <c r="C836" s="162"/>
      <c r="D836" s="162"/>
      <c r="E836" s="160"/>
      <c r="F836" s="168"/>
      <c r="G836" s="162"/>
      <c r="H836" s="162"/>
      <c r="I836" s="162"/>
    </row>
    <row r="837" spans="1:9" ht="12.75" x14ac:dyDescent="0.2">
      <c r="A837" s="168"/>
      <c r="B837" s="162"/>
      <c r="C837" s="162"/>
      <c r="D837" s="162"/>
      <c r="E837" s="160"/>
      <c r="F837" s="168"/>
      <c r="G837" s="162"/>
      <c r="H837" s="162"/>
      <c r="I837" s="162"/>
    </row>
    <row r="838" spans="1:9" ht="12.75" x14ac:dyDescent="0.2">
      <c r="A838" s="168"/>
      <c r="B838" s="162"/>
      <c r="C838" s="162"/>
      <c r="D838" s="162"/>
      <c r="E838" s="160"/>
      <c r="F838" s="168"/>
      <c r="G838" s="162"/>
      <c r="H838" s="162"/>
      <c r="I838" s="162"/>
    </row>
    <row r="839" spans="1:9" ht="12.75" x14ac:dyDescent="0.2">
      <c r="A839" s="168"/>
      <c r="B839" s="162"/>
      <c r="C839" s="162"/>
      <c r="D839" s="162"/>
      <c r="E839" s="160"/>
      <c r="F839" s="168"/>
      <c r="G839" s="162"/>
      <c r="H839" s="162"/>
      <c r="I839" s="162"/>
    </row>
    <row r="840" spans="1:9" ht="12.75" x14ac:dyDescent="0.2">
      <c r="A840" s="168"/>
      <c r="B840" s="162"/>
      <c r="C840" s="162"/>
      <c r="D840" s="162"/>
      <c r="E840" s="160"/>
      <c r="F840" s="168"/>
      <c r="G840" s="162"/>
      <c r="H840" s="162"/>
      <c r="I840" s="162"/>
    </row>
    <row r="841" spans="1:9" ht="12.75" x14ac:dyDescent="0.2">
      <c r="A841" s="168"/>
      <c r="B841" s="162"/>
      <c r="C841" s="162"/>
      <c r="D841" s="162"/>
      <c r="E841" s="160"/>
      <c r="F841" s="168"/>
      <c r="G841" s="162"/>
      <c r="H841" s="162"/>
      <c r="I841" s="162"/>
    </row>
    <row r="842" spans="1:9" ht="12.75" x14ac:dyDescent="0.2">
      <c r="A842" s="168"/>
      <c r="B842" s="162"/>
      <c r="C842" s="162"/>
      <c r="D842" s="162"/>
      <c r="E842" s="160"/>
      <c r="F842" s="168"/>
      <c r="G842" s="162"/>
      <c r="H842" s="162"/>
      <c r="I842" s="162"/>
    </row>
    <row r="843" spans="1:9" ht="12.75" x14ac:dyDescent="0.2">
      <c r="A843" s="168"/>
      <c r="B843" s="162"/>
      <c r="C843" s="162"/>
      <c r="D843" s="162"/>
      <c r="E843" s="160"/>
      <c r="F843" s="168"/>
      <c r="G843" s="162"/>
      <c r="H843" s="162"/>
      <c r="I843" s="162"/>
    </row>
    <row r="844" spans="1:9" ht="12.75" x14ac:dyDescent="0.2">
      <c r="A844" s="168"/>
      <c r="B844" s="162"/>
      <c r="C844" s="162"/>
      <c r="D844" s="162"/>
      <c r="E844" s="160"/>
      <c r="F844" s="168"/>
      <c r="G844" s="162"/>
      <c r="H844" s="162"/>
      <c r="I844" s="162"/>
    </row>
    <row r="845" spans="1:9" ht="12.75" x14ac:dyDescent="0.2">
      <c r="A845" s="168"/>
      <c r="B845" s="162"/>
      <c r="C845" s="162"/>
      <c r="D845" s="162"/>
      <c r="E845" s="160"/>
      <c r="F845" s="168"/>
      <c r="G845" s="162"/>
      <c r="H845" s="162"/>
      <c r="I845" s="162"/>
    </row>
    <row r="846" spans="1:9" ht="12.75" x14ac:dyDescent="0.2">
      <c r="A846" s="168"/>
      <c r="B846" s="162"/>
      <c r="C846" s="162"/>
      <c r="D846" s="162"/>
      <c r="E846" s="160"/>
      <c r="F846" s="168"/>
      <c r="G846" s="162"/>
      <c r="H846" s="162"/>
      <c r="I846" s="162"/>
    </row>
    <row r="847" spans="1:9" ht="12.75" x14ac:dyDescent="0.2">
      <c r="A847" s="168"/>
      <c r="B847" s="162"/>
      <c r="C847" s="162"/>
      <c r="D847" s="162"/>
      <c r="E847" s="160"/>
      <c r="F847" s="168"/>
      <c r="G847" s="162"/>
      <c r="H847" s="162"/>
      <c r="I847" s="162"/>
    </row>
    <row r="848" spans="1:9" ht="12.75" x14ac:dyDescent="0.2">
      <c r="A848" s="168"/>
      <c r="B848" s="162"/>
      <c r="C848" s="162"/>
      <c r="D848" s="162"/>
      <c r="E848" s="160"/>
      <c r="F848" s="168"/>
      <c r="G848" s="162"/>
      <c r="H848" s="162"/>
      <c r="I848" s="162"/>
    </row>
    <row r="849" spans="1:9" ht="12.75" x14ac:dyDescent="0.2">
      <c r="A849" s="168"/>
      <c r="B849" s="162"/>
      <c r="C849" s="162"/>
      <c r="D849" s="162"/>
      <c r="E849" s="160"/>
      <c r="F849" s="168"/>
      <c r="G849" s="162"/>
      <c r="H849" s="162"/>
      <c r="I849" s="162"/>
    </row>
    <row r="850" spans="1:9" ht="12.75" x14ac:dyDescent="0.2">
      <c r="A850" s="168"/>
      <c r="B850" s="162"/>
      <c r="C850" s="162"/>
      <c r="D850" s="162"/>
      <c r="E850" s="160"/>
      <c r="F850" s="168"/>
      <c r="G850" s="162"/>
      <c r="H850" s="162"/>
      <c r="I850" s="162"/>
    </row>
    <row r="851" spans="1:9" ht="12.75" x14ac:dyDescent="0.2">
      <c r="A851" s="168"/>
      <c r="B851" s="162"/>
      <c r="C851" s="162"/>
      <c r="D851" s="162"/>
      <c r="E851" s="160"/>
      <c r="F851" s="168"/>
      <c r="G851" s="162"/>
      <c r="H851" s="162"/>
      <c r="I851" s="162"/>
    </row>
    <row r="852" spans="1:9" ht="12.75" x14ac:dyDescent="0.2">
      <c r="A852" s="168"/>
      <c r="B852" s="162"/>
      <c r="C852" s="162"/>
      <c r="D852" s="162"/>
      <c r="E852" s="160"/>
      <c r="F852" s="168"/>
      <c r="G852" s="162"/>
      <c r="H852" s="162"/>
      <c r="I852" s="162"/>
    </row>
    <row r="853" spans="1:9" ht="12.75" x14ac:dyDescent="0.2">
      <c r="A853" s="168"/>
      <c r="B853" s="162"/>
      <c r="C853" s="162"/>
      <c r="D853" s="162"/>
      <c r="E853" s="160"/>
      <c r="F853" s="168"/>
      <c r="G853" s="162"/>
      <c r="H853" s="162"/>
      <c r="I853" s="162"/>
    </row>
    <row r="854" spans="1:9" ht="12.75" x14ac:dyDescent="0.2">
      <c r="A854" s="168"/>
      <c r="B854" s="162"/>
      <c r="C854" s="162"/>
      <c r="D854" s="162"/>
      <c r="E854" s="160"/>
      <c r="F854" s="168"/>
      <c r="G854" s="162"/>
      <c r="H854" s="162"/>
      <c r="I854" s="162"/>
    </row>
    <row r="855" spans="1:9" ht="12.75" x14ac:dyDescent="0.2">
      <c r="A855" s="168"/>
      <c r="B855" s="162"/>
      <c r="C855" s="162"/>
      <c r="D855" s="162"/>
      <c r="E855" s="160"/>
      <c r="F855" s="168"/>
      <c r="G855" s="162"/>
      <c r="H855" s="162"/>
      <c r="I855" s="162"/>
    </row>
    <row r="856" spans="1:9" ht="12.75" x14ac:dyDescent="0.2">
      <c r="A856" s="168"/>
      <c r="B856" s="162"/>
      <c r="C856" s="162"/>
      <c r="D856" s="162"/>
      <c r="E856" s="160"/>
      <c r="F856" s="168"/>
      <c r="G856" s="162"/>
      <c r="H856" s="162"/>
      <c r="I856" s="162"/>
    </row>
    <row r="857" spans="1:9" ht="12.75" x14ac:dyDescent="0.2">
      <c r="A857" s="168"/>
      <c r="B857" s="162"/>
      <c r="C857" s="162"/>
      <c r="D857" s="162"/>
      <c r="E857" s="160"/>
      <c r="F857" s="168"/>
      <c r="G857" s="162"/>
      <c r="H857" s="162"/>
      <c r="I857" s="162"/>
    </row>
    <row r="858" spans="1:9" ht="12.75" x14ac:dyDescent="0.2">
      <c r="A858" s="168"/>
      <c r="B858" s="162"/>
      <c r="C858" s="162"/>
      <c r="D858" s="162"/>
      <c r="E858" s="160"/>
      <c r="F858" s="168"/>
      <c r="G858" s="162"/>
      <c r="H858" s="162"/>
      <c r="I858" s="162"/>
    </row>
    <row r="859" spans="1:9" ht="12.75" x14ac:dyDescent="0.2">
      <c r="A859" s="168"/>
      <c r="B859" s="162"/>
      <c r="C859" s="162"/>
      <c r="D859" s="162"/>
      <c r="E859" s="160"/>
      <c r="F859" s="168"/>
      <c r="G859" s="162"/>
      <c r="H859" s="162"/>
      <c r="I859" s="162"/>
    </row>
    <row r="860" spans="1:9" ht="12.75" x14ac:dyDescent="0.2">
      <c r="A860" s="168"/>
      <c r="B860" s="162"/>
      <c r="C860" s="162"/>
      <c r="D860" s="162"/>
      <c r="E860" s="160"/>
      <c r="F860" s="168"/>
      <c r="G860" s="162"/>
      <c r="H860" s="162"/>
      <c r="I860" s="162"/>
    </row>
    <row r="861" spans="1:9" ht="12.75" x14ac:dyDescent="0.2">
      <c r="A861" s="168"/>
      <c r="B861" s="162"/>
      <c r="C861" s="162"/>
      <c r="D861" s="162"/>
      <c r="E861" s="160"/>
      <c r="F861" s="168"/>
      <c r="G861" s="162"/>
      <c r="H861" s="162"/>
      <c r="I861" s="162"/>
    </row>
    <row r="862" spans="1:9" ht="12.75" x14ac:dyDescent="0.2">
      <c r="A862" s="168"/>
      <c r="B862" s="162"/>
      <c r="C862" s="162"/>
      <c r="D862" s="162"/>
      <c r="E862" s="160"/>
      <c r="F862" s="168"/>
      <c r="G862" s="162"/>
      <c r="H862" s="162"/>
      <c r="I862" s="162"/>
    </row>
    <row r="863" spans="1:9" ht="12.75" x14ac:dyDescent="0.2">
      <c r="A863" s="168"/>
      <c r="B863" s="162"/>
      <c r="C863" s="162"/>
      <c r="D863" s="162"/>
      <c r="E863" s="160"/>
      <c r="F863" s="168"/>
      <c r="G863" s="162"/>
      <c r="H863" s="162"/>
      <c r="I863" s="162"/>
    </row>
    <row r="864" spans="1:9" ht="12.75" x14ac:dyDescent="0.2">
      <c r="A864" s="168"/>
      <c r="B864" s="162"/>
      <c r="C864" s="162"/>
      <c r="D864" s="162"/>
      <c r="E864" s="160"/>
      <c r="F864" s="168"/>
      <c r="G864" s="162"/>
      <c r="H864" s="162"/>
      <c r="I864" s="162"/>
    </row>
    <row r="865" spans="1:9" ht="12.75" x14ac:dyDescent="0.2">
      <c r="A865" s="168"/>
      <c r="B865" s="162"/>
      <c r="C865" s="162"/>
      <c r="D865" s="162"/>
      <c r="E865" s="160"/>
      <c r="F865" s="168"/>
      <c r="G865" s="162"/>
      <c r="H865" s="162"/>
      <c r="I865" s="162"/>
    </row>
    <row r="866" spans="1:9" ht="12.75" x14ac:dyDescent="0.2">
      <c r="A866" s="168"/>
      <c r="B866" s="162"/>
      <c r="C866" s="162"/>
      <c r="D866" s="162"/>
      <c r="E866" s="160"/>
      <c r="F866" s="168"/>
      <c r="G866" s="162"/>
      <c r="H866" s="162"/>
      <c r="I866" s="162"/>
    </row>
    <row r="867" spans="1:9" ht="12.75" x14ac:dyDescent="0.2">
      <c r="A867" s="168"/>
      <c r="B867" s="162"/>
      <c r="C867" s="162"/>
      <c r="D867" s="162"/>
      <c r="E867" s="160"/>
      <c r="F867" s="168"/>
      <c r="G867" s="162"/>
      <c r="H867" s="162"/>
      <c r="I867" s="162"/>
    </row>
    <row r="868" spans="1:9" ht="12.75" x14ac:dyDescent="0.2">
      <c r="A868" s="168"/>
      <c r="B868" s="162"/>
      <c r="C868" s="162"/>
      <c r="D868" s="162"/>
      <c r="E868" s="160"/>
      <c r="F868" s="168"/>
      <c r="G868" s="162"/>
      <c r="H868" s="162"/>
      <c r="I868" s="162"/>
    </row>
    <row r="869" spans="1:9" ht="12.75" x14ac:dyDescent="0.2">
      <c r="A869" s="168"/>
      <c r="B869" s="162"/>
      <c r="C869" s="162"/>
      <c r="D869" s="162"/>
      <c r="E869" s="160"/>
      <c r="F869" s="168"/>
      <c r="G869" s="162"/>
      <c r="H869" s="162"/>
      <c r="I869" s="162"/>
    </row>
    <row r="870" spans="1:9" ht="12.75" x14ac:dyDescent="0.2">
      <c r="A870" s="168"/>
      <c r="B870" s="162"/>
      <c r="C870" s="162"/>
      <c r="D870" s="162"/>
      <c r="E870" s="160"/>
      <c r="F870" s="168"/>
      <c r="G870" s="162"/>
      <c r="H870" s="162"/>
      <c r="I870" s="162"/>
    </row>
    <row r="871" spans="1:9" ht="12.75" x14ac:dyDescent="0.2">
      <c r="A871" s="168"/>
      <c r="B871" s="162"/>
      <c r="C871" s="162"/>
      <c r="D871" s="162"/>
      <c r="E871" s="160"/>
      <c r="F871" s="168"/>
      <c r="G871" s="162"/>
      <c r="H871" s="162"/>
      <c r="I871" s="162"/>
    </row>
    <row r="872" spans="1:9" ht="12.75" x14ac:dyDescent="0.2">
      <c r="A872" s="168"/>
      <c r="B872" s="162"/>
      <c r="C872" s="162"/>
      <c r="D872" s="162"/>
      <c r="E872" s="160"/>
      <c r="F872" s="168"/>
      <c r="G872" s="162"/>
      <c r="H872" s="162"/>
      <c r="I872" s="162"/>
    </row>
    <row r="873" spans="1:9" ht="12.75" x14ac:dyDescent="0.2">
      <c r="A873" s="168"/>
      <c r="B873" s="162"/>
      <c r="C873" s="162"/>
      <c r="D873" s="162"/>
      <c r="E873" s="160"/>
      <c r="F873" s="168"/>
      <c r="G873" s="162"/>
      <c r="H873" s="162"/>
      <c r="I873" s="162"/>
    </row>
    <row r="874" spans="1:9" ht="12.75" x14ac:dyDescent="0.2">
      <c r="A874" s="168"/>
      <c r="B874" s="162"/>
      <c r="C874" s="162"/>
      <c r="D874" s="162"/>
      <c r="E874" s="160"/>
      <c r="F874" s="168"/>
      <c r="G874" s="162"/>
      <c r="H874" s="162"/>
      <c r="I874" s="162"/>
    </row>
    <row r="875" spans="1:9" ht="12.75" x14ac:dyDescent="0.2">
      <c r="A875" s="168"/>
      <c r="B875" s="162"/>
      <c r="C875" s="162"/>
      <c r="D875" s="162"/>
      <c r="E875" s="160"/>
      <c r="F875" s="168"/>
      <c r="G875" s="162"/>
      <c r="H875" s="162"/>
      <c r="I875" s="162"/>
    </row>
    <row r="876" spans="1:9" ht="12.75" x14ac:dyDescent="0.2">
      <c r="A876" s="168"/>
      <c r="B876" s="162"/>
      <c r="C876" s="162"/>
      <c r="D876" s="162"/>
      <c r="E876" s="160"/>
      <c r="F876" s="168"/>
      <c r="G876" s="162"/>
      <c r="H876" s="162"/>
      <c r="I876" s="162"/>
    </row>
    <row r="877" spans="1:9" ht="12.75" x14ac:dyDescent="0.2">
      <c r="A877" s="168"/>
      <c r="B877" s="162"/>
      <c r="C877" s="162"/>
      <c r="D877" s="162"/>
      <c r="E877" s="160"/>
      <c r="F877" s="168"/>
      <c r="G877" s="162"/>
      <c r="H877" s="162"/>
      <c r="I877" s="162"/>
    </row>
    <row r="878" spans="1:9" ht="12.75" x14ac:dyDescent="0.2">
      <c r="A878" s="168"/>
      <c r="B878" s="162"/>
      <c r="C878" s="162"/>
      <c r="D878" s="162"/>
      <c r="E878" s="160"/>
      <c r="F878" s="168"/>
      <c r="G878" s="162"/>
      <c r="H878" s="162"/>
      <c r="I878" s="162"/>
    </row>
    <row r="879" spans="1:9" ht="12.75" x14ac:dyDescent="0.2">
      <c r="A879" s="168"/>
      <c r="B879" s="162"/>
      <c r="C879" s="162"/>
      <c r="D879" s="162"/>
      <c r="E879" s="160"/>
      <c r="F879" s="168"/>
      <c r="G879" s="162"/>
      <c r="H879" s="162"/>
      <c r="I879" s="162"/>
    </row>
    <row r="880" spans="1:9" ht="12.75" x14ac:dyDescent="0.2">
      <c r="A880" s="168"/>
      <c r="B880" s="162"/>
      <c r="C880" s="162"/>
      <c r="D880" s="162"/>
      <c r="E880" s="160"/>
      <c r="F880" s="168"/>
      <c r="G880" s="162"/>
      <c r="H880" s="162"/>
      <c r="I880" s="162"/>
    </row>
    <row r="881" spans="1:9" ht="12.75" x14ac:dyDescent="0.2">
      <c r="A881" s="168"/>
      <c r="B881" s="162"/>
      <c r="C881" s="162"/>
      <c r="D881" s="162"/>
      <c r="E881" s="160"/>
      <c r="F881" s="168"/>
      <c r="G881" s="162"/>
      <c r="H881" s="162"/>
      <c r="I881" s="162"/>
    </row>
    <row r="882" spans="1:9" ht="12.75" x14ac:dyDescent="0.2">
      <c r="A882" s="168"/>
      <c r="B882" s="162"/>
      <c r="C882" s="162"/>
      <c r="D882" s="162"/>
      <c r="E882" s="160"/>
      <c r="F882" s="168"/>
      <c r="G882" s="162"/>
      <c r="H882" s="162"/>
      <c r="I882" s="162"/>
    </row>
    <row r="883" spans="1:9" ht="12.75" x14ac:dyDescent="0.2">
      <c r="A883" s="168"/>
      <c r="B883" s="162"/>
      <c r="C883" s="162"/>
      <c r="D883" s="162"/>
      <c r="E883" s="160"/>
      <c r="F883" s="168"/>
      <c r="G883" s="162"/>
      <c r="H883" s="162"/>
      <c r="I883" s="162"/>
    </row>
    <row r="884" spans="1:9" ht="12.75" x14ac:dyDescent="0.2">
      <c r="A884" s="168"/>
      <c r="B884" s="162"/>
      <c r="C884" s="162"/>
      <c r="D884" s="162"/>
      <c r="E884" s="160"/>
      <c r="F884" s="168"/>
      <c r="G884" s="162"/>
      <c r="H884" s="162"/>
      <c r="I884" s="162"/>
    </row>
    <row r="885" spans="1:9" ht="12.75" x14ac:dyDescent="0.2">
      <c r="A885" s="168"/>
      <c r="B885" s="162"/>
      <c r="C885" s="162"/>
      <c r="D885" s="162"/>
      <c r="E885" s="160"/>
      <c r="F885" s="168"/>
      <c r="G885" s="162"/>
      <c r="H885" s="162"/>
      <c r="I885" s="162"/>
    </row>
    <row r="886" spans="1:9" ht="12.75" x14ac:dyDescent="0.2">
      <c r="A886" s="168"/>
      <c r="B886" s="162"/>
      <c r="C886" s="162"/>
      <c r="D886" s="162"/>
      <c r="E886" s="160"/>
      <c r="F886" s="168"/>
      <c r="G886" s="162"/>
      <c r="H886" s="162"/>
      <c r="I886" s="162"/>
    </row>
    <row r="887" spans="1:9" ht="12.75" x14ac:dyDescent="0.2">
      <c r="A887" s="168"/>
      <c r="B887" s="162"/>
      <c r="C887" s="162"/>
      <c r="D887" s="162"/>
      <c r="E887" s="160"/>
      <c r="F887" s="168"/>
      <c r="G887" s="162"/>
      <c r="H887" s="162"/>
      <c r="I887" s="162"/>
    </row>
    <row r="888" spans="1:9" ht="12.75" x14ac:dyDescent="0.2">
      <c r="A888" s="168"/>
      <c r="B888" s="162"/>
      <c r="C888" s="162"/>
      <c r="D888" s="162"/>
      <c r="E888" s="160"/>
      <c r="F888" s="168"/>
      <c r="G888" s="162"/>
      <c r="H888" s="162"/>
      <c r="I888" s="162"/>
    </row>
    <row r="889" spans="1:9" ht="12.75" x14ac:dyDescent="0.2">
      <c r="A889" s="168"/>
      <c r="B889" s="162"/>
      <c r="C889" s="162"/>
      <c r="D889" s="162"/>
      <c r="E889" s="160"/>
      <c r="F889" s="168"/>
      <c r="G889" s="162"/>
      <c r="H889" s="162"/>
      <c r="I889" s="162"/>
    </row>
    <row r="890" spans="1:9" ht="12.75" x14ac:dyDescent="0.2">
      <c r="A890" s="168"/>
      <c r="B890" s="162"/>
      <c r="C890" s="162"/>
      <c r="D890" s="162"/>
      <c r="E890" s="160"/>
      <c r="F890" s="168"/>
      <c r="G890" s="162"/>
      <c r="H890" s="162"/>
      <c r="I890" s="162"/>
    </row>
    <row r="891" spans="1:9" ht="12.75" x14ac:dyDescent="0.2">
      <c r="A891" s="168"/>
      <c r="B891" s="162"/>
      <c r="C891" s="162"/>
      <c r="D891" s="162"/>
      <c r="E891" s="160"/>
      <c r="F891" s="168"/>
      <c r="G891" s="162"/>
      <c r="H891" s="162"/>
      <c r="I891" s="162"/>
    </row>
    <row r="892" spans="1:9" ht="12.75" x14ac:dyDescent="0.2">
      <c r="A892" s="168"/>
      <c r="B892" s="162"/>
      <c r="C892" s="162"/>
      <c r="D892" s="162"/>
      <c r="E892" s="160"/>
      <c r="F892" s="168"/>
      <c r="G892" s="162"/>
      <c r="H892" s="162"/>
      <c r="I892" s="162"/>
    </row>
    <row r="893" spans="1:9" ht="12.75" x14ac:dyDescent="0.2">
      <c r="A893" s="168"/>
      <c r="B893" s="162"/>
      <c r="C893" s="162"/>
      <c r="D893" s="162"/>
      <c r="E893" s="160"/>
      <c r="F893" s="168"/>
      <c r="G893" s="162"/>
      <c r="H893" s="162"/>
      <c r="I893" s="162"/>
    </row>
    <row r="894" spans="1:9" ht="12.75" x14ac:dyDescent="0.2">
      <c r="A894" s="168"/>
      <c r="B894" s="162"/>
      <c r="C894" s="162"/>
      <c r="D894" s="162"/>
      <c r="E894" s="160"/>
      <c r="F894" s="168"/>
      <c r="G894" s="162"/>
      <c r="H894" s="162"/>
      <c r="I894" s="162"/>
    </row>
    <row r="895" spans="1:9" ht="12.75" x14ac:dyDescent="0.2">
      <c r="A895" s="168"/>
      <c r="B895" s="162"/>
      <c r="C895" s="162"/>
      <c r="D895" s="162"/>
      <c r="E895" s="160"/>
      <c r="F895" s="168"/>
      <c r="G895" s="162"/>
      <c r="H895" s="162"/>
      <c r="I895" s="162"/>
    </row>
    <row r="896" spans="1:9" ht="12.75" x14ac:dyDescent="0.2">
      <c r="A896" s="168"/>
      <c r="B896" s="162"/>
      <c r="C896" s="162"/>
      <c r="D896" s="162"/>
      <c r="E896" s="160"/>
      <c r="F896" s="168"/>
      <c r="G896" s="162"/>
      <c r="H896" s="162"/>
      <c r="I896" s="162"/>
    </row>
    <row r="897" spans="1:9" ht="12.75" x14ac:dyDescent="0.2">
      <c r="A897" s="168"/>
      <c r="B897" s="162"/>
      <c r="C897" s="162"/>
      <c r="D897" s="162"/>
      <c r="E897" s="160"/>
      <c r="F897" s="168"/>
      <c r="G897" s="162"/>
      <c r="H897" s="162"/>
      <c r="I897" s="162"/>
    </row>
    <row r="898" spans="1:9" ht="12.75" x14ac:dyDescent="0.2">
      <c r="A898" s="168"/>
      <c r="B898" s="162"/>
      <c r="C898" s="162"/>
      <c r="D898" s="162"/>
      <c r="E898" s="160"/>
      <c r="F898" s="168"/>
      <c r="G898" s="162"/>
      <c r="H898" s="162"/>
      <c r="I898" s="162"/>
    </row>
    <row r="899" spans="1:9" ht="12.75" x14ac:dyDescent="0.2">
      <c r="A899" s="168"/>
      <c r="B899" s="162"/>
      <c r="C899" s="162"/>
      <c r="D899" s="162"/>
      <c r="E899" s="160"/>
      <c r="F899" s="168"/>
      <c r="G899" s="162"/>
      <c r="H899" s="162"/>
      <c r="I899" s="162"/>
    </row>
    <row r="900" spans="1:9" ht="12.75" x14ac:dyDescent="0.2">
      <c r="A900" s="168"/>
      <c r="B900" s="162"/>
      <c r="C900" s="162"/>
      <c r="D900" s="162"/>
      <c r="E900" s="160"/>
      <c r="F900" s="168"/>
      <c r="G900" s="162"/>
      <c r="H900" s="162"/>
      <c r="I900" s="162"/>
    </row>
    <row r="901" spans="1:9" ht="12.75" x14ac:dyDescent="0.2">
      <c r="A901" s="168"/>
      <c r="B901" s="162"/>
      <c r="C901" s="162"/>
      <c r="D901" s="162"/>
      <c r="E901" s="160"/>
      <c r="F901" s="168"/>
      <c r="G901" s="162"/>
      <c r="H901" s="162"/>
      <c r="I901" s="162"/>
    </row>
    <row r="902" spans="1:9" ht="12.75" x14ac:dyDescent="0.2">
      <c r="A902" s="168"/>
      <c r="B902" s="162"/>
      <c r="C902" s="162"/>
      <c r="D902" s="162"/>
      <c r="E902" s="160"/>
      <c r="F902" s="168"/>
      <c r="G902" s="162"/>
      <c r="H902" s="162"/>
      <c r="I902" s="162"/>
    </row>
    <row r="903" spans="1:9" ht="12.75" x14ac:dyDescent="0.2">
      <c r="A903" s="168"/>
      <c r="B903" s="162"/>
      <c r="C903" s="162"/>
      <c r="D903" s="162"/>
      <c r="E903" s="160"/>
      <c r="F903" s="168"/>
      <c r="G903" s="162"/>
      <c r="H903" s="162"/>
      <c r="I903" s="162"/>
    </row>
    <row r="904" spans="1:9" ht="12.75" x14ac:dyDescent="0.2">
      <c r="A904" s="168"/>
      <c r="B904" s="162"/>
      <c r="C904" s="162"/>
      <c r="D904" s="162"/>
      <c r="E904" s="160"/>
      <c r="F904" s="168"/>
      <c r="G904" s="162"/>
      <c r="H904" s="162"/>
      <c r="I904" s="162"/>
    </row>
    <row r="905" spans="1:9" ht="12.75" x14ac:dyDescent="0.2">
      <c r="A905" s="168"/>
      <c r="B905" s="162"/>
      <c r="C905" s="162"/>
      <c r="D905" s="162"/>
      <c r="E905" s="160"/>
      <c r="F905" s="168"/>
      <c r="G905" s="162"/>
      <c r="H905" s="162"/>
      <c r="I905" s="162"/>
    </row>
    <row r="906" spans="1:9" ht="12.75" x14ac:dyDescent="0.2">
      <c r="A906" s="168"/>
      <c r="B906" s="162"/>
      <c r="C906" s="162"/>
      <c r="D906" s="162"/>
      <c r="E906" s="160"/>
      <c r="F906" s="168"/>
      <c r="G906" s="162"/>
      <c r="H906" s="162"/>
      <c r="I906" s="162"/>
    </row>
    <row r="907" spans="1:9" ht="12.75" x14ac:dyDescent="0.2">
      <c r="A907" s="168"/>
      <c r="B907" s="162"/>
      <c r="C907" s="162"/>
      <c r="D907" s="162"/>
      <c r="E907" s="160"/>
      <c r="F907" s="168"/>
      <c r="G907" s="162"/>
      <c r="H907" s="162"/>
      <c r="I907" s="162"/>
    </row>
    <row r="908" spans="1:9" ht="12.75" x14ac:dyDescent="0.2">
      <c r="A908" s="168"/>
      <c r="B908" s="162"/>
      <c r="C908" s="162"/>
      <c r="D908" s="162"/>
      <c r="E908" s="160"/>
      <c r="F908" s="168"/>
      <c r="G908" s="162"/>
      <c r="H908" s="162"/>
      <c r="I908" s="162"/>
    </row>
    <row r="909" spans="1:9" ht="12.75" x14ac:dyDescent="0.2">
      <c r="A909" s="168"/>
      <c r="B909" s="162"/>
      <c r="C909" s="162"/>
      <c r="D909" s="162"/>
      <c r="E909" s="160"/>
      <c r="F909" s="168"/>
      <c r="G909" s="162"/>
      <c r="H909" s="162"/>
      <c r="I909" s="162"/>
    </row>
    <row r="910" spans="1:9" ht="12.75" x14ac:dyDescent="0.2">
      <c r="A910" s="168"/>
      <c r="B910" s="162"/>
      <c r="C910" s="162"/>
      <c r="D910" s="162"/>
      <c r="E910" s="160"/>
      <c r="F910" s="168"/>
      <c r="G910" s="162"/>
      <c r="H910" s="162"/>
      <c r="I910" s="162"/>
    </row>
    <row r="911" spans="1:9" ht="12.75" x14ac:dyDescent="0.2">
      <c r="A911" s="168"/>
      <c r="B911" s="162"/>
      <c r="C911" s="162"/>
      <c r="D911" s="162"/>
      <c r="E911" s="160"/>
      <c r="F911" s="168"/>
      <c r="G911" s="162"/>
      <c r="H911" s="162"/>
      <c r="I911" s="162"/>
    </row>
    <row r="912" spans="1:9" ht="12.75" x14ac:dyDescent="0.2">
      <c r="A912" s="168"/>
      <c r="B912" s="162"/>
      <c r="C912" s="162"/>
      <c r="D912" s="162"/>
      <c r="E912" s="160"/>
      <c r="F912" s="168"/>
      <c r="G912" s="162"/>
      <c r="H912" s="162"/>
      <c r="I912" s="162"/>
    </row>
    <row r="913" spans="1:9" ht="12.75" x14ac:dyDescent="0.2">
      <c r="A913" s="168"/>
      <c r="B913" s="162"/>
      <c r="C913" s="162"/>
      <c r="D913" s="162"/>
      <c r="E913" s="160"/>
      <c r="F913" s="168"/>
      <c r="G913" s="162"/>
      <c r="H913" s="162"/>
      <c r="I913" s="162"/>
    </row>
    <row r="914" spans="1:9" ht="12.75" x14ac:dyDescent="0.2">
      <c r="A914" s="168"/>
      <c r="B914" s="162"/>
      <c r="C914" s="162"/>
      <c r="D914" s="162"/>
      <c r="E914" s="160"/>
      <c r="F914" s="168"/>
      <c r="G914" s="162"/>
      <c r="H914" s="162"/>
      <c r="I914" s="162"/>
    </row>
    <row r="915" spans="1:9" ht="12.75" x14ac:dyDescent="0.2">
      <c r="A915" s="168"/>
      <c r="B915" s="162"/>
      <c r="C915" s="162"/>
      <c r="D915" s="162"/>
      <c r="E915" s="160"/>
      <c r="F915" s="168"/>
      <c r="G915" s="162"/>
      <c r="H915" s="162"/>
      <c r="I915" s="162"/>
    </row>
    <row r="916" spans="1:9" ht="12.75" x14ac:dyDescent="0.2">
      <c r="A916" s="168"/>
      <c r="B916" s="162"/>
      <c r="C916" s="162"/>
      <c r="D916" s="162"/>
      <c r="E916" s="160"/>
      <c r="F916" s="168"/>
      <c r="G916" s="162"/>
      <c r="H916" s="162"/>
      <c r="I916" s="162"/>
    </row>
    <row r="917" spans="1:9" ht="12.75" x14ac:dyDescent="0.2">
      <c r="A917" s="168"/>
      <c r="B917" s="162"/>
      <c r="C917" s="162"/>
      <c r="D917" s="162"/>
      <c r="E917" s="160"/>
      <c r="F917" s="168"/>
      <c r="G917" s="162"/>
      <c r="H917" s="162"/>
      <c r="I917" s="162"/>
    </row>
    <row r="918" spans="1:9" ht="12.75" x14ac:dyDescent="0.2">
      <c r="A918" s="168"/>
      <c r="B918" s="162"/>
      <c r="C918" s="162"/>
      <c r="D918" s="162"/>
      <c r="E918" s="160"/>
      <c r="F918" s="168"/>
      <c r="G918" s="162"/>
      <c r="H918" s="162"/>
      <c r="I918" s="162"/>
    </row>
    <row r="919" spans="1:9" ht="12.75" x14ac:dyDescent="0.2">
      <c r="A919" s="168"/>
      <c r="B919" s="162"/>
      <c r="C919" s="162"/>
      <c r="D919" s="162"/>
      <c r="E919" s="160"/>
      <c r="F919" s="168"/>
      <c r="G919" s="162"/>
      <c r="H919" s="162"/>
      <c r="I919" s="162"/>
    </row>
    <row r="920" spans="1:9" ht="12.75" x14ac:dyDescent="0.2">
      <c r="A920" s="168"/>
      <c r="B920" s="162"/>
      <c r="C920" s="162"/>
      <c r="D920" s="162"/>
      <c r="E920" s="160"/>
      <c r="F920" s="168"/>
      <c r="G920" s="162"/>
      <c r="H920" s="162"/>
      <c r="I920" s="162"/>
    </row>
    <row r="921" spans="1:9" ht="12.75" x14ac:dyDescent="0.2">
      <c r="A921" s="168"/>
      <c r="B921" s="162"/>
      <c r="C921" s="162"/>
      <c r="D921" s="162"/>
      <c r="E921" s="160"/>
      <c r="F921" s="168"/>
      <c r="G921" s="162"/>
      <c r="H921" s="162"/>
      <c r="I921" s="162"/>
    </row>
    <row r="922" spans="1:9" ht="12.75" x14ac:dyDescent="0.2">
      <c r="A922" s="168"/>
      <c r="B922" s="162"/>
      <c r="C922" s="162"/>
      <c r="D922" s="162"/>
      <c r="E922" s="160"/>
      <c r="F922" s="168"/>
      <c r="G922" s="162"/>
      <c r="H922" s="162"/>
      <c r="I922" s="162"/>
    </row>
    <row r="923" spans="1:9" ht="12.75" x14ac:dyDescent="0.2">
      <c r="A923" s="168"/>
      <c r="B923" s="162"/>
      <c r="C923" s="162"/>
      <c r="D923" s="162"/>
      <c r="E923" s="160"/>
      <c r="F923" s="168"/>
      <c r="G923" s="162"/>
      <c r="H923" s="162"/>
      <c r="I923" s="162"/>
    </row>
    <row r="924" spans="1:9" ht="12.75" x14ac:dyDescent="0.2">
      <c r="A924" s="168"/>
      <c r="B924" s="162"/>
      <c r="C924" s="162"/>
      <c r="D924" s="162"/>
      <c r="E924" s="160"/>
      <c r="F924" s="168"/>
      <c r="G924" s="162"/>
      <c r="H924" s="162"/>
      <c r="I924" s="162"/>
    </row>
    <row r="925" spans="1:9" ht="12.75" x14ac:dyDescent="0.2">
      <c r="A925" s="168"/>
      <c r="B925" s="162"/>
      <c r="C925" s="162"/>
      <c r="D925" s="162"/>
      <c r="E925" s="160"/>
      <c r="F925" s="168"/>
      <c r="G925" s="162"/>
      <c r="H925" s="162"/>
      <c r="I925" s="162"/>
    </row>
    <row r="926" spans="1:9" ht="12.75" x14ac:dyDescent="0.2">
      <c r="A926" s="168"/>
      <c r="B926" s="162"/>
      <c r="C926" s="162"/>
      <c r="D926" s="162"/>
      <c r="E926" s="160"/>
      <c r="F926" s="168"/>
      <c r="G926" s="162"/>
      <c r="H926" s="162"/>
      <c r="I926" s="162"/>
    </row>
    <row r="927" spans="1:9" ht="12.75" x14ac:dyDescent="0.2">
      <c r="A927" s="168"/>
      <c r="B927" s="162"/>
      <c r="C927" s="162"/>
      <c r="D927" s="162"/>
      <c r="E927" s="160"/>
      <c r="F927" s="168"/>
      <c r="G927" s="162"/>
      <c r="H927" s="162"/>
      <c r="I927" s="162"/>
    </row>
    <row r="928" spans="1:9" ht="12.75" x14ac:dyDescent="0.2">
      <c r="A928" s="168"/>
      <c r="B928" s="162"/>
      <c r="C928" s="162"/>
      <c r="D928" s="162"/>
      <c r="E928" s="160"/>
      <c r="F928" s="168"/>
      <c r="G928" s="162"/>
      <c r="H928" s="162"/>
      <c r="I928" s="162"/>
    </row>
    <row r="929" spans="1:9" ht="12.75" x14ac:dyDescent="0.2">
      <c r="A929" s="168"/>
      <c r="B929" s="162"/>
      <c r="C929" s="162"/>
      <c r="D929" s="162"/>
      <c r="E929" s="160"/>
      <c r="F929" s="168"/>
      <c r="G929" s="162"/>
      <c r="H929" s="162"/>
      <c r="I929" s="162"/>
    </row>
    <row r="930" spans="1:9" ht="12.75" x14ac:dyDescent="0.2">
      <c r="A930" s="168"/>
      <c r="B930" s="162"/>
      <c r="C930" s="162"/>
      <c r="D930" s="162"/>
      <c r="E930" s="160"/>
      <c r="F930" s="168"/>
      <c r="G930" s="162"/>
      <c r="H930" s="162"/>
      <c r="I930" s="162"/>
    </row>
    <row r="931" spans="1:9" ht="12.75" x14ac:dyDescent="0.2">
      <c r="A931" s="168"/>
      <c r="B931" s="162"/>
      <c r="C931" s="162"/>
      <c r="D931" s="162"/>
      <c r="E931" s="160"/>
      <c r="F931" s="168"/>
      <c r="G931" s="162"/>
      <c r="H931" s="162"/>
      <c r="I931" s="162"/>
    </row>
    <row r="932" spans="1:9" ht="12.75" x14ac:dyDescent="0.2">
      <c r="A932" s="168"/>
      <c r="B932" s="162"/>
      <c r="C932" s="162"/>
      <c r="D932" s="162"/>
      <c r="E932" s="160"/>
      <c r="F932" s="168"/>
      <c r="G932" s="162"/>
      <c r="H932" s="162"/>
      <c r="I932" s="162"/>
    </row>
    <row r="933" spans="1:9" ht="12.75" x14ac:dyDescent="0.2">
      <c r="A933" s="168"/>
      <c r="B933" s="162"/>
      <c r="C933" s="162"/>
      <c r="D933" s="162"/>
      <c r="E933" s="160"/>
      <c r="F933" s="168"/>
      <c r="G933" s="162"/>
      <c r="H933" s="162"/>
      <c r="I933" s="162"/>
    </row>
    <row r="934" spans="1:9" ht="12.75" x14ac:dyDescent="0.2">
      <c r="A934" s="168"/>
      <c r="B934" s="162"/>
      <c r="C934" s="162"/>
      <c r="D934" s="162"/>
      <c r="E934" s="160"/>
      <c r="F934" s="168"/>
      <c r="G934" s="162"/>
      <c r="H934" s="162"/>
      <c r="I934" s="162"/>
    </row>
    <row r="935" spans="1:9" ht="12.75" x14ac:dyDescent="0.2">
      <c r="A935" s="168"/>
      <c r="B935" s="162"/>
      <c r="C935" s="162"/>
      <c r="D935" s="162"/>
      <c r="E935" s="160"/>
      <c r="F935" s="168"/>
      <c r="G935" s="162"/>
      <c r="H935" s="162"/>
      <c r="I935" s="162"/>
    </row>
    <row r="936" spans="1:9" ht="12.75" x14ac:dyDescent="0.2">
      <c r="A936" s="168"/>
      <c r="B936" s="162"/>
      <c r="C936" s="162"/>
      <c r="D936" s="162"/>
      <c r="E936" s="160"/>
      <c r="F936" s="168"/>
      <c r="G936" s="162"/>
      <c r="H936" s="162"/>
      <c r="I936" s="162"/>
    </row>
    <row r="937" spans="1:9" ht="12.75" x14ac:dyDescent="0.2">
      <c r="A937" s="168"/>
      <c r="B937" s="162"/>
      <c r="C937" s="162"/>
      <c r="D937" s="162"/>
      <c r="E937" s="160"/>
      <c r="F937" s="168"/>
      <c r="G937" s="162"/>
      <c r="H937" s="162"/>
      <c r="I937" s="162"/>
    </row>
    <row r="938" spans="1:9" ht="12.75" x14ac:dyDescent="0.2">
      <c r="A938" s="168"/>
      <c r="B938" s="162"/>
      <c r="C938" s="162"/>
      <c r="D938" s="162"/>
      <c r="E938" s="160"/>
      <c r="F938" s="168"/>
      <c r="G938" s="162"/>
      <c r="H938" s="162"/>
      <c r="I938" s="162"/>
    </row>
    <row r="939" spans="1:9" ht="12.75" x14ac:dyDescent="0.2">
      <c r="A939" s="168"/>
      <c r="B939" s="162"/>
      <c r="C939" s="162"/>
      <c r="D939" s="162"/>
      <c r="E939" s="160"/>
      <c r="F939" s="168"/>
      <c r="G939" s="162"/>
      <c r="H939" s="162"/>
      <c r="I939" s="162"/>
    </row>
    <row r="940" spans="1:9" ht="12.75" x14ac:dyDescent="0.2">
      <c r="A940" s="168"/>
      <c r="B940" s="162"/>
      <c r="C940" s="162"/>
      <c r="D940" s="162"/>
      <c r="E940" s="160"/>
      <c r="F940" s="168"/>
      <c r="G940" s="162"/>
      <c r="H940" s="162"/>
      <c r="I940" s="162"/>
    </row>
    <row r="941" spans="1:9" ht="12.75" x14ac:dyDescent="0.2">
      <c r="A941" s="168"/>
      <c r="B941" s="162"/>
      <c r="C941" s="162"/>
      <c r="D941" s="162"/>
      <c r="E941" s="160"/>
      <c r="F941" s="168"/>
      <c r="G941" s="162"/>
      <c r="H941" s="162"/>
      <c r="I941" s="162"/>
    </row>
    <row r="942" spans="1:9" ht="12.75" x14ac:dyDescent="0.2">
      <c r="A942" s="168"/>
      <c r="B942" s="162"/>
      <c r="C942" s="162"/>
      <c r="D942" s="162"/>
      <c r="E942" s="160"/>
      <c r="F942" s="168"/>
      <c r="G942" s="162"/>
      <c r="H942" s="162"/>
      <c r="I942" s="162"/>
    </row>
    <row r="943" spans="1:9" ht="12.75" x14ac:dyDescent="0.2">
      <c r="A943" s="168"/>
      <c r="B943" s="162"/>
      <c r="C943" s="162"/>
      <c r="D943" s="162"/>
      <c r="E943" s="160"/>
      <c r="F943" s="168"/>
      <c r="G943" s="162"/>
      <c r="H943" s="162"/>
      <c r="I943" s="162"/>
    </row>
    <row r="944" spans="1:9" ht="12.75" x14ac:dyDescent="0.2">
      <c r="A944" s="168"/>
      <c r="B944" s="162"/>
      <c r="C944" s="162"/>
      <c r="D944" s="162"/>
      <c r="E944" s="160"/>
      <c r="F944" s="168"/>
      <c r="G944" s="162"/>
      <c r="H944" s="162"/>
      <c r="I944" s="162"/>
    </row>
    <row r="945" spans="1:9" ht="12.75" x14ac:dyDescent="0.2">
      <c r="A945" s="168"/>
      <c r="B945" s="162"/>
      <c r="C945" s="162"/>
      <c r="D945" s="162"/>
      <c r="E945" s="160"/>
      <c r="F945" s="168"/>
      <c r="G945" s="162"/>
      <c r="H945" s="162"/>
      <c r="I945" s="162"/>
    </row>
    <row r="946" spans="1:9" ht="12.75" x14ac:dyDescent="0.2">
      <c r="A946" s="168"/>
      <c r="B946" s="162"/>
      <c r="C946" s="162"/>
      <c r="D946" s="162"/>
      <c r="E946" s="160"/>
      <c r="F946" s="168"/>
      <c r="G946" s="162"/>
      <c r="H946" s="162"/>
      <c r="I946" s="162"/>
    </row>
    <row r="947" spans="1:9" ht="12.75" x14ac:dyDescent="0.2">
      <c r="A947" s="168"/>
      <c r="B947" s="162"/>
      <c r="C947" s="162"/>
      <c r="D947" s="162"/>
      <c r="E947" s="160"/>
      <c r="F947" s="168"/>
      <c r="G947" s="162"/>
      <c r="H947" s="162"/>
      <c r="I947" s="162"/>
    </row>
    <row r="948" spans="1:9" ht="12.75" x14ac:dyDescent="0.2">
      <c r="A948" s="168"/>
      <c r="B948" s="162"/>
      <c r="C948" s="162"/>
      <c r="D948" s="162"/>
      <c r="E948" s="160"/>
      <c r="F948" s="168"/>
      <c r="G948" s="162"/>
      <c r="H948" s="162"/>
      <c r="I948" s="162"/>
    </row>
    <row r="949" spans="1:9" ht="12.75" x14ac:dyDescent="0.2">
      <c r="A949" s="168"/>
      <c r="B949" s="162"/>
      <c r="C949" s="162"/>
      <c r="D949" s="162"/>
      <c r="E949" s="160"/>
      <c r="F949" s="168"/>
      <c r="G949" s="162"/>
      <c r="H949" s="162"/>
      <c r="I949" s="162"/>
    </row>
    <row r="950" spans="1:9" ht="12.75" x14ac:dyDescent="0.2">
      <c r="A950" s="168"/>
      <c r="B950" s="162"/>
      <c r="C950" s="162"/>
      <c r="D950" s="162"/>
      <c r="E950" s="160"/>
      <c r="F950" s="168"/>
      <c r="G950" s="162"/>
      <c r="H950" s="162"/>
      <c r="I950" s="162"/>
    </row>
    <row r="951" spans="1:9" ht="12.75" x14ac:dyDescent="0.2">
      <c r="A951" s="168"/>
      <c r="B951" s="162"/>
      <c r="C951" s="162"/>
      <c r="D951" s="162"/>
      <c r="E951" s="160"/>
      <c r="F951" s="168"/>
      <c r="G951" s="162"/>
      <c r="H951" s="162"/>
      <c r="I951" s="162"/>
    </row>
    <row r="952" spans="1:9" ht="12.75" x14ac:dyDescent="0.2">
      <c r="A952" s="168"/>
      <c r="B952" s="162"/>
      <c r="C952" s="162"/>
      <c r="D952" s="162"/>
      <c r="E952" s="160"/>
      <c r="F952" s="168"/>
      <c r="G952" s="162"/>
      <c r="H952" s="162"/>
      <c r="I952" s="162"/>
    </row>
    <row r="953" spans="1:9" ht="12.75" x14ac:dyDescent="0.2">
      <c r="A953" s="168"/>
      <c r="B953" s="162"/>
      <c r="C953" s="162"/>
      <c r="D953" s="162"/>
      <c r="E953" s="160"/>
      <c r="F953" s="168"/>
      <c r="G953" s="162"/>
      <c r="H953" s="162"/>
      <c r="I953" s="162"/>
    </row>
    <row r="954" spans="1:9" ht="12.75" x14ac:dyDescent="0.2">
      <c r="A954" s="168"/>
      <c r="B954" s="162"/>
      <c r="C954" s="162"/>
      <c r="D954" s="162"/>
      <c r="E954" s="160"/>
      <c r="F954" s="168"/>
      <c r="G954" s="162"/>
      <c r="H954" s="162"/>
      <c r="I954" s="162"/>
    </row>
    <row r="955" spans="1:9" ht="12.75" x14ac:dyDescent="0.2">
      <c r="A955" s="168"/>
      <c r="B955" s="162"/>
      <c r="C955" s="162"/>
      <c r="D955" s="162"/>
      <c r="E955" s="160"/>
      <c r="F955" s="168"/>
      <c r="G955" s="162"/>
      <c r="H955" s="162"/>
      <c r="I955" s="162"/>
    </row>
    <row r="956" spans="1:9" ht="12.75" x14ac:dyDescent="0.2">
      <c r="A956" s="168"/>
      <c r="B956" s="162"/>
      <c r="C956" s="162"/>
      <c r="D956" s="162"/>
      <c r="E956" s="160"/>
      <c r="F956" s="168"/>
      <c r="G956" s="162"/>
      <c r="H956" s="162"/>
      <c r="I956" s="162"/>
    </row>
    <row r="957" spans="1:9" ht="12.75" x14ac:dyDescent="0.2">
      <c r="A957" s="168"/>
      <c r="B957" s="162"/>
      <c r="C957" s="162"/>
      <c r="D957" s="162"/>
      <c r="E957" s="160"/>
      <c r="F957" s="168"/>
      <c r="G957" s="162"/>
      <c r="H957" s="162"/>
      <c r="I957" s="162"/>
    </row>
    <row r="958" spans="1:9" ht="12.75" x14ac:dyDescent="0.2">
      <c r="A958" s="168"/>
      <c r="B958" s="162"/>
      <c r="C958" s="162"/>
      <c r="D958" s="162"/>
      <c r="E958" s="160"/>
      <c r="F958" s="168"/>
      <c r="G958" s="162"/>
      <c r="H958" s="162"/>
      <c r="I958" s="162"/>
    </row>
    <row r="959" spans="1:9" ht="12.75" x14ac:dyDescent="0.2">
      <c r="A959" s="168"/>
      <c r="B959" s="162"/>
      <c r="C959" s="162"/>
      <c r="D959" s="162"/>
      <c r="E959" s="160"/>
      <c r="F959" s="168"/>
      <c r="G959" s="162"/>
      <c r="H959" s="162"/>
      <c r="I959" s="162"/>
    </row>
    <row r="960" spans="1:9" ht="12.75" x14ac:dyDescent="0.2">
      <c r="A960" s="168"/>
      <c r="B960" s="162"/>
      <c r="C960" s="162"/>
      <c r="D960" s="162"/>
      <c r="E960" s="160"/>
      <c r="F960" s="168"/>
      <c r="G960" s="162"/>
      <c r="H960" s="162"/>
      <c r="I960" s="162"/>
    </row>
    <row r="961" spans="1:9" ht="12.75" x14ac:dyDescent="0.2">
      <c r="A961" s="168"/>
      <c r="B961" s="162"/>
      <c r="C961" s="162"/>
      <c r="D961" s="162"/>
      <c r="E961" s="160"/>
      <c r="F961" s="168"/>
      <c r="G961" s="162"/>
      <c r="H961" s="162"/>
      <c r="I961" s="162"/>
    </row>
    <row r="962" spans="1:9" ht="12.75" x14ac:dyDescent="0.2">
      <c r="A962" s="168"/>
      <c r="B962" s="162"/>
      <c r="C962" s="162"/>
      <c r="D962" s="162"/>
      <c r="E962" s="160"/>
      <c r="F962" s="168"/>
      <c r="G962" s="162"/>
      <c r="H962" s="162"/>
      <c r="I962" s="162"/>
    </row>
    <row r="963" spans="1:9" ht="12.75" x14ac:dyDescent="0.2">
      <c r="A963" s="168"/>
      <c r="B963" s="162"/>
      <c r="C963" s="162"/>
      <c r="D963" s="162"/>
      <c r="E963" s="160"/>
      <c r="F963" s="168"/>
      <c r="G963" s="162"/>
      <c r="H963" s="162"/>
      <c r="I963" s="162"/>
    </row>
    <row r="964" spans="1:9" ht="12.75" x14ac:dyDescent="0.2">
      <c r="A964" s="168"/>
      <c r="B964" s="162"/>
      <c r="C964" s="162"/>
      <c r="D964" s="162"/>
      <c r="E964" s="160"/>
      <c r="F964" s="168"/>
      <c r="G964" s="162"/>
      <c r="H964" s="162"/>
      <c r="I964" s="162"/>
    </row>
    <row r="965" spans="1:9" ht="12.75" x14ac:dyDescent="0.2">
      <c r="A965" s="168"/>
      <c r="B965" s="162"/>
      <c r="C965" s="162"/>
      <c r="D965" s="162"/>
      <c r="E965" s="160"/>
      <c r="F965" s="168"/>
      <c r="G965" s="162"/>
      <c r="H965" s="162"/>
      <c r="I965" s="162"/>
    </row>
    <row r="966" spans="1:9" ht="12.75" x14ac:dyDescent="0.2">
      <c r="A966" s="168"/>
      <c r="B966" s="162"/>
      <c r="C966" s="162"/>
      <c r="D966" s="162"/>
      <c r="E966" s="160"/>
      <c r="F966" s="168"/>
      <c r="G966" s="162"/>
      <c r="H966" s="162"/>
      <c r="I966" s="162"/>
    </row>
    <row r="967" spans="1:9" ht="12.75" x14ac:dyDescent="0.2">
      <c r="A967" s="168"/>
      <c r="B967" s="162"/>
      <c r="C967" s="162"/>
      <c r="D967" s="162"/>
      <c r="E967" s="160"/>
      <c r="F967" s="168"/>
      <c r="G967" s="162"/>
      <c r="H967" s="162"/>
      <c r="I967" s="162"/>
    </row>
    <row r="968" spans="1:9" ht="12.75" x14ac:dyDescent="0.2">
      <c r="A968" s="168"/>
      <c r="B968" s="162"/>
      <c r="C968" s="162"/>
      <c r="D968" s="162"/>
      <c r="E968" s="160"/>
      <c r="F968" s="168"/>
      <c r="G968" s="162"/>
      <c r="H968" s="162"/>
      <c r="I968" s="162"/>
    </row>
    <row r="969" spans="1:9" ht="12.75" x14ac:dyDescent="0.2">
      <c r="A969" s="168"/>
      <c r="B969" s="162"/>
      <c r="C969" s="162"/>
      <c r="D969" s="162"/>
      <c r="E969" s="160"/>
      <c r="F969" s="168"/>
      <c r="G969" s="162"/>
      <c r="H969" s="162"/>
      <c r="I969" s="162"/>
    </row>
    <row r="970" spans="1:9" ht="12.75" x14ac:dyDescent="0.2">
      <c r="A970" s="168"/>
      <c r="B970" s="162"/>
      <c r="C970" s="162"/>
      <c r="D970" s="162"/>
      <c r="E970" s="160"/>
      <c r="F970" s="168"/>
      <c r="G970" s="162"/>
      <c r="H970" s="162"/>
      <c r="I970" s="162"/>
    </row>
    <row r="971" spans="1:9" ht="12.75" x14ac:dyDescent="0.2">
      <c r="A971" s="168"/>
      <c r="B971" s="162"/>
      <c r="C971" s="162"/>
      <c r="D971" s="162"/>
      <c r="E971" s="160"/>
      <c r="F971" s="168"/>
      <c r="G971" s="162"/>
      <c r="H971" s="162"/>
      <c r="I971" s="162"/>
    </row>
    <row r="972" spans="1:9" ht="12.75" x14ac:dyDescent="0.2">
      <c r="A972" s="168"/>
      <c r="B972" s="162"/>
      <c r="C972" s="162"/>
      <c r="D972" s="162"/>
      <c r="E972" s="160"/>
      <c r="F972" s="168"/>
      <c r="G972" s="162"/>
      <c r="H972" s="162"/>
      <c r="I972" s="162"/>
    </row>
    <row r="973" spans="1:9" ht="12.75" x14ac:dyDescent="0.2">
      <c r="A973" s="168"/>
      <c r="B973" s="162"/>
      <c r="C973" s="162"/>
      <c r="D973" s="162"/>
      <c r="E973" s="160"/>
      <c r="F973" s="168"/>
      <c r="G973" s="162"/>
      <c r="H973" s="162"/>
      <c r="I973" s="162"/>
    </row>
    <row r="974" spans="1:9" ht="12.75" x14ac:dyDescent="0.2">
      <c r="A974" s="168"/>
      <c r="B974" s="162"/>
      <c r="C974" s="162"/>
      <c r="D974" s="162"/>
      <c r="E974" s="160"/>
      <c r="F974" s="168"/>
      <c r="G974" s="162"/>
      <c r="H974" s="162"/>
      <c r="I974" s="162"/>
    </row>
    <row r="975" spans="1:9" ht="12.75" x14ac:dyDescent="0.2">
      <c r="A975" s="168"/>
      <c r="B975" s="162"/>
      <c r="C975" s="162"/>
      <c r="D975" s="162"/>
      <c r="E975" s="160"/>
      <c r="F975" s="168"/>
      <c r="G975" s="162"/>
      <c r="H975" s="162"/>
      <c r="I975" s="162"/>
    </row>
    <row r="976" spans="1:9" ht="12.75" x14ac:dyDescent="0.2">
      <c r="A976" s="168"/>
      <c r="B976" s="162"/>
      <c r="C976" s="162"/>
      <c r="D976" s="162"/>
      <c r="E976" s="160"/>
      <c r="F976" s="168"/>
      <c r="G976" s="162"/>
      <c r="H976" s="162"/>
      <c r="I976" s="162"/>
    </row>
    <row r="977" spans="1:9" ht="12.75" x14ac:dyDescent="0.2">
      <c r="A977" s="168"/>
      <c r="B977" s="162"/>
      <c r="C977" s="162"/>
      <c r="D977" s="162"/>
      <c r="E977" s="160"/>
      <c r="F977" s="168"/>
      <c r="G977" s="162"/>
      <c r="H977" s="162"/>
      <c r="I977" s="162"/>
    </row>
    <row r="978" spans="1:9" ht="12.75" x14ac:dyDescent="0.2">
      <c r="A978" s="168"/>
      <c r="B978" s="162"/>
      <c r="C978" s="162"/>
      <c r="D978" s="162"/>
      <c r="E978" s="160"/>
      <c r="F978" s="168"/>
      <c r="G978" s="162"/>
      <c r="H978" s="162"/>
      <c r="I978" s="162"/>
    </row>
    <row r="979" spans="1:9" ht="12.75" x14ac:dyDescent="0.2">
      <c r="A979" s="168"/>
      <c r="B979" s="162"/>
      <c r="C979" s="162"/>
      <c r="D979" s="162"/>
      <c r="E979" s="160"/>
      <c r="F979" s="168"/>
      <c r="G979" s="162"/>
      <c r="H979" s="162"/>
      <c r="I979" s="162"/>
    </row>
    <row r="980" spans="1:9" ht="12.75" x14ac:dyDescent="0.2">
      <c r="A980" s="168"/>
      <c r="B980" s="162"/>
      <c r="C980" s="162"/>
      <c r="D980" s="162"/>
      <c r="E980" s="160"/>
      <c r="F980" s="168"/>
      <c r="G980" s="162"/>
      <c r="H980" s="162"/>
      <c r="I980" s="162"/>
    </row>
    <row r="981" spans="1:9" ht="12.75" x14ac:dyDescent="0.2">
      <c r="A981" s="168"/>
      <c r="B981" s="162"/>
      <c r="C981" s="162"/>
      <c r="D981" s="162"/>
      <c r="E981" s="160"/>
      <c r="F981" s="168"/>
      <c r="G981" s="162"/>
      <c r="H981" s="162"/>
      <c r="I981" s="162"/>
    </row>
    <row r="982" spans="1:9" ht="12.75" x14ac:dyDescent="0.2">
      <c r="A982" s="168"/>
      <c r="B982" s="162"/>
      <c r="C982" s="162"/>
      <c r="D982" s="162"/>
      <c r="E982" s="160"/>
      <c r="F982" s="168"/>
      <c r="G982" s="162"/>
      <c r="H982" s="162"/>
      <c r="I982" s="162"/>
    </row>
    <row r="983" spans="1:9" ht="12.75" x14ac:dyDescent="0.2">
      <c r="A983" s="168"/>
      <c r="B983" s="162"/>
      <c r="C983" s="162"/>
      <c r="D983" s="162"/>
      <c r="E983" s="160"/>
      <c r="F983" s="168"/>
      <c r="G983" s="162"/>
      <c r="H983" s="162"/>
      <c r="I983" s="162"/>
    </row>
    <row r="984" spans="1:9" ht="12.75" x14ac:dyDescent="0.2">
      <c r="A984" s="168"/>
      <c r="B984" s="162"/>
      <c r="C984" s="162"/>
      <c r="D984" s="162"/>
      <c r="E984" s="160"/>
      <c r="F984" s="168"/>
      <c r="G984" s="162"/>
      <c r="H984" s="162"/>
      <c r="I984" s="162"/>
    </row>
    <row r="985" spans="1:9" ht="12.75" x14ac:dyDescent="0.2">
      <c r="A985" s="168"/>
      <c r="B985" s="162"/>
      <c r="C985" s="162"/>
      <c r="D985" s="162"/>
      <c r="E985" s="160"/>
      <c r="F985" s="168"/>
      <c r="G985" s="162"/>
      <c r="H985" s="162"/>
      <c r="I985" s="162"/>
    </row>
    <row r="986" spans="1:9" ht="12.75" x14ac:dyDescent="0.2">
      <c r="A986" s="168"/>
      <c r="B986" s="162"/>
      <c r="C986" s="162"/>
      <c r="D986" s="162"/>
      <c r="E986" s="160"/>
      <c r="F986" s="168"/>
      <c r="G986" s="162"/>
      <c r="H986" s="162"/>
      <c r="I986" s="162"/>
    </row>
    <row r="987" spans="1:9" ht="12.75" x14ac:dyDescent="0.2">
      <c r="A987" s="168"/>
      <c r="B987" s="162"/>
      <c r="C987" s="162"/>
      <c r="D987" s="162"/>
      <c r="E987" s="160"/>
      <c r="F987" s="168"/>
      <c r="G987" s="162"/>
      <c r="H987" s="162"/>
      <c r="I987" s="162"/>
    </row>
    <row r="988" spans="1:9" ht="12.75" x14ac:dyDescent="0.2">
      <c r="A988" s="168"/>
      <c r="B988" s="162"/>
      <c r="C988" s="162"/>
      <c r="D988" s="162"/>
      <c r="E988" s="160"/>
      <c r="F988" s="168"/>
      <c r="G988" s="162"/>
      <c r="H988" s="162"/>
      <c r="I988" s="162"/>
    </row>
    <row r="989" spans="1:9" ht="12.75" x14ac:dyDescent="0.2">
      <c r="A989" s="168"/>
      <c r="B989" s="162"/>
      <c r="C989" s="162"/>
      <c r="D989" s="162"/>
      <c r="E989" s="160"/>
      <c r="F989" s="168"/>
      <c r="G989" s="162"/>
      <c r="H989" s="162"/>
      <c r="I989" s="162"/>
    </row>
    <row r="990" spans="1:9" ht="12.75" x14ac:dyDescent="0.2">
      <c r="A990" s="168"/>
      <c r="B990" s="162"/>
      <c r="C990" s="162"/>
      <c r="D990" s="162"/>
      <c r="E990" s="160"/>
      <c r="F990" s="168"/>
      <c r="G990" s="162"/>
      <c r="H990" s="162"/>
      <c r="I990" s="162"/>
    </row>
    <row r="991" spans="1:9" ht="12.75" x14ac:dyDescent="0.2">
      <c r="A991" s="168"/>
      <c r="B991" s="162"/>
      <c r="C991" s="162"/>
      <c r="D991" s="162"/>
      <c r="E991" s="160"/>
      <c r="F991" s="168"/>
      <c r="G991" s="162"/>
      <c r="H991" s="162"/>
      <c r="I991" s="162"/>
    </row>
    <row r="992" spans="1:9" ht="12.75" x14ac:dyDescent="0.2">
      <c r="A992" s="168"/>
      <c r="B992" s="162"/>
      <c r="C992" s="162"/>
      <c r="D992" s="162"/>
      <c r="E992" s="160"/>
      <c r="F992" s="168"/>
      <c r="G992" s="162"/>
      <c r="H992" s="162"/>
      <c r="I992" s="162"/>
    </row>
    <row r="993" spans="1:9" ht="12.75" x14ac:dyDescent="0.2">
      <c r="A993" s="168"/>
      <c r="B993" s="162"/>
      <c r="C993" s="162"/>
      <c r="D993" s="162"/>
      <c r="E993" s="160"/>
      <c r="F993" s="168"/>
      <c r="G993" s="162"/>
      <c r="H993" s="162"/>
      <c r="I993" s="162"/>
    </row>
    <row r="994" spans="1:9" ht="12.75" x14ac:dyDescent="0.2">
      <c r="A994" s="168"/>
      <c r="B994" s="162"/>
      <c r="C994" s="162"/>
      <c r="D994" s="162"/>
      <c r="E994" s="160"/>
      <c r="F994" s="168"/>
      <c r="G994" s="162"/>
      <c r="H994" s="162"/>
      <c r="I994" s="162"/>
    </row>
    <row r="995" spans="1:9" ht="12.75" x14ac:dyDescent="0.2">
      <c r="A995" s="168"/>
      <c r="B995" s="162"/>
      <c r="C995" s="162"/>
      <c r="D995" s="162"/>
      <c r="E995" s="160"/>
      <c r="F995" s="168"/>
      <c r="G995" s="162"/>
      <c r="H995" s="162"/>
      <c r="I995" s="162"/>
    </row>
    <row r="996" spans="1:9" ht="12.75" x14ac:dyDescent="0.2">
      <c r="A996" s="168"/>
      <c r="B996" s="162"/>
      <c r="C996" s="162"/>
      <c r="D996" s="162"/>
      <c r="E996" s="160"/>
      <c r="F996" s="168"/>
      <c r="G996" s="162"/>
      <c r="H996" s="162"/>
      <c r="I996" s="162"/>
    </row>
    <row r="997" spans="1:9" ht="12.75" x14ac:dyDescent="0.2">
      <c r="A997" s="168"/>
      <c r="B997" s="162"/>
      <c r="C997" s="162"/>
      <c r="D997" s="162"/>
      <c r="E997" s="160"/>
      <c r="F997" s="168"/>
      <c r="G997" s="162"/>
      <c r="H997" s="162"/>
      <c r="I997" s="162"/>
    </row>
    <row r="998" spans="1:9" ht="12.75" x14ac:dyDescent="0.2">
      <c r="A998" s="168"/>
      <c r="B998" s="162"/>
      <c r="C998" s="162"/>
      <c r="D998" s="162"/>
      <c r="E998" s="160"/>
      <c r="F998" s="168"/>
      <c r="G998" s="162"/>
      <c r="H998" s="162"/>
      <c r="I998" s="162"/>
    </row>
  </sheetData>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C121"/>
  <sheetViews>
    <sheetView workbookViewId="0">
      <pane xSplit="1" topLeftCell="B1" activePane="topRight" state="frozen"/>
      <selection pane="topRight" activeCell="C2" sqref="C2"/>
    </sheetView>
  </sheetViews>
  <sheetFormatPr defaultColWidth="14.42578125" defaultRowHeight="15.75" customHeight="1" x14ac:dyDescent="0.2"/>
  <cols>
    <col min="1" max="1" width="24.28515625" customWidth="1"/>
    <col min="2" max="2" width="8.42578125" customWidth="1"/>
    <col min="16" max="16" width="17.5703125" customWidth="1"/>
  </cols>
  <sheetData>
    <row r="2" spans="1:29" ht="15.75" customHeight="1" x14ac:dyDescent="0.2">
      <c r="A2" s="12" t="s">
        <v>291</v>
      </c>
      <c r="B2" s="25"/>
      <c r="C2" s="12" t="s">
        <v>292</v>
      </c>
      <c r="D2" s="12" t="s">
        <v>293</v>
      </c>
      <c r="E2" s="12" t="s">
        <v>294</v>
      </c>
      <c r="F2" s="12" t="s">
        <v>295</v>
      </c>
      <c r="G2" s="12" t="s">
        <v>296</v>
      </c>
      <c r="H2" s="12" t="s">
        <v>297</v>
      </c>
      <c r="I2" s="12" t="s">
        <v>298</v>
      </c>
      <c r="J2" s="12" t="s">
        <v>299</v>
      </c>
      <c r="K2" s="12" t="s">
        <v>300</v>
      </c>
      <c r="L2" s="12" t="s">
        <v>301</v>
      </c>
      <c r="M2" s="12" t="s">
        <v>302</v>
      </c>
      <c r="N2" s="12" t="s">
        <v>303</v>
      </c>
      <c r="O2" s="12" t="s">
        <v>304</v>
      </c>
      <c r="P2" s="12" t="s">
        <v>305</v>
      </c>
      <c r="Q2" s="12" t="s">
        <v>306</v>
      </c>
      <c r="R2" s="12" t="s">
        <v>307</v>
      </c>
      <c r="S2" s="12" t="s">
        <v>308</v>
      </c>
      <c r="T2" s="12" t="s">
        <v>309</v>
      </c>
      <c r="U2" s="25"/>
      <c r="V2" s="25"/>
      <c r="W2" s="25"/>
      <c r="X2" s="25"/>
      <c r="Y2" s="25"/>
      <c r="Z2" s="25"/>
      <c r="AA2" s="25"/>
      <c r="AB2" s="25"/>
      <c r="AC2" s="25"/>
    </row>
    <row r="3" spans="1:29" ht="15.75" customHeight="1" x14ac:dyDescent="0.2">
      <c r="A3" s="92" t="s">
        <v>40</v>
      </c>
      <c r="C3" s="88">
        <f t="shared" ref="C3:C14" si="0">C39</f>
        <v>7173.5</v>
      </c>
      <c r="D3" s="4">
        <f t="shared" ref="D3:D9" si="1">O39</f>
        <v>5.7800000000000002E-5</v>
      </c>
      <c r="E3" s="87">
        <f t="shared" ref="E3:E9" si="2">C3/D3</f>
        <v>124108996.53979239</v>
      </c>
      <c r="F3" s="4">
        <v>447.38</v>
      </c>
      <c r="G3" s="4">
        <v>1.7999999999999999E-6</v>
      </c>
      <c r="H3" s="87">
        <f t="shared" ref="H3:H6" si="3">F3/G3</f>
        <v>248544444.44444445</v>
      </c>
      <c r="I3" s="4">
        <v>153.85</v>
      </c>
      <c r="J3" s="4">
        <v>2.2000000000000001E-7</v>
      </c>
      <c r="K3" s="88">
        <f t="shared" ref="K3:K6" si="4">I3/J3</f>
        <v>699318181.81818175</v>
      </c>
      <c r="L3" s="4">
        <v>26.68</v>
      </c>
      <c r="M3" s="4">
        <v>1.4000000000000001E-7</v>
      </c>
      <c r="N3" s="88">
        <f t="shared" ref="N3:N6" si="5">L3/M3</f>
        <v>190571428.57142857</v>
      </c>
      <c r="O3" s="4">
        <v>0</v>
      </c>
      <c r="P3" s="4">
        <v>0</v>
      </c>
      <c r="Q3" s="88"/>
      <c r="R3" s="88">
        <v>7801.41</v>
      </c>
      <c r="S3" s="4">
        <v>5.9000000000000003E-6</v>
      </c>
      <c r="T3" s="88">
        <f t="shared" ref="T3:T9" si="6">R3/S3</f>
        <v>1322272881.3559322</v>
      </c>
    </row>
    <row r="4" spans="1:29" ht="15.75" customHeight="1" x14ac:dyDescent="0.2">
      <c r="A4" s="92" t="s">
        <v>42</v>
      </c>
      <c r="C4" s="88">
        <f t="shared" si="0"/>
        <v>64.349999999999994</v>
      </c>
      <c r="D4" s="4">
        <f t="shared" si="1"/>
        <v>5.2E-7</v>
      </c>
      <c r="E4" s="87">
        <f t="shared" si="2"/>
        <v>123749999.99999999</v>
      </c>
      <c r="F4" s="4">
        <v>24.14</v>
      </c>
      <c r="G4" s="4">
        <v>9.5000000000000004E-8</v>
      </c>
      <c r="H4" s="87">
        <f t="shared" si="3"/>
        <v>254105263.15789473</v>
      </c>
      <c r="I4" s="4">
        <v>36.74</v>
      </c>
      <c r="J4" s="4">
        <v>5.2000000000000002E-8</v>
      </c>
      <c r="K4" s="88">
        <f t="shared" si="4"/>
        <v>706538461.53846157</v>
      </c>
      <c r="L4" s="4">
        <v>15.24</v>
      </c>
      <c r="M4" s="4">
        <v>8.0999999999999997E-8</v>
      </c>
      <c r="N4" s="88">
        <f t="shared" si="5"/>
        <v>188148148.14814815</v>
      </c>
      <c r="O4" s="4">
        <v>0</v>
      </c>
      <c r="P4" s="4">
        <v>0</v>
      </c>
      <c r="Q4" s="88"/>
      <c r="R4" s="4">
        <v>140.47</v>
      </c>
      <c r="S4" s="4">
        <v>1.1000000000000001E-7</v>
      </c>
      <c r="T4" s="88">
        <f t="shared" si="6"/>
        <v>1277000000</v>
      </c>
    </row>
    <row r="5" spans="1:29" ht="15.75" customHeight="1" x14ac:dyDescent="0.2">
      <c r="A5" s="92" t="s">
        <v>44</v>
      </c>
      <c r="C5" s="88">
        <f t="shared" si="0"/>
        <v>8406.76</v>
      </c>
      <c r="D5" s="4">
        <f t="shared" si="1"/>
        <v>6.7700000000000006E-5</v>
      </c>
      <c r="E5" s="87">
        <f t="shared" si="2"/>
        <v>124176661.74298374</v>
      </c>
      <c r="F5" s="88">
        <v>1194.24</v>
      </c>
      <c r="G5" s="4">
        <v>4.6999999999999999E-6</v>
      </c>
      <c r="H5" s="87">
        <f t="shared" si="3"/>
        <v>254093617.02127659</v>
      </c>
      <c r="I5" s="88">
        <v>4740.29</v>
      </c>
      <c r="J5" s="4">
        <v>6.8000000000000001E-6</v>
      </c>
      <c r="K5" s="88">
        <f t="shared" si="4"/>
        <v>697101470.58823526</v>
      </c>
      <c r="L5" s="88">
        <v>4327.34</v>
      </c>
      <c r="M5" s="4">
        <v>2.3099999999999999E-5</v>
      </c>
      <c r="N5" s="88">
        <f t="shared" si="5"/>
        <v>187330735.93073595</v>
      </c>
      <c r="O5" s="88">
        <v>2130.42</v>
      </c>
      <c r="P5" s="4">
        <v>4.7800000000000003E-5</v>
      </c>
      <c r="Q5" s="88">
        <f>O5/P5</f>
        <v>44569456.066945605</v>
      </c>
      <c r="R5" s="88">
        <v>20799.05</v>
      </c>
      <c r="S5" s="4">
        <v>1.59E-5</v>
      </c>
      <c r="T5" s="88">
        <f t="shared" si="6"/>
        <v>1308116352.2012577</v>
      </c>
    </row>
    <row r="6" spans="1:29" ht="15.75" customHeight="1" x14ac:dyDescent="0.2">
      <c r="A6" s="92" t="s">
        <v>48</v>
      </c>
      <c r="C6" s="88">
        <f t="shared" si="0"/>
        <v>15297.53</v>
      </c>
      <c r="D6" s="4">
        <f t="shared" si="1"/>
        <v>1.2320000000000001E-4</v>
      </c>
      <c r="E6" s="87">
        <f t="shared" si="2"/>
        <v>124168262.98701298</v>
      </c>
      <c r="F6" s="88">
        <v>2090.96</v>
      </c>
      <c r="G6" s="4">
        <v>8.1999999999999994E-6</v>
      </c>
      <c r="H6" s="87">
        <f t="shared" si="3"/>
        <v>254995121.95121953</v>
      </c>
      <c r="I6" s="4">
        <v>514.66</v>
      </c>
      <c r="J6" s="4">
        <v>7.3E-7</v>
      </c>
      <c r="K6" s="88">
        <f t="shared" si="4"/>
        <v>705013698.63013697</v>
      </c>
      <c r="L6" s="4">
        <v>22.17</v>
      </c>
      <c r="M6" s="4">
        <v>1.1999999999999999E-7</v>
      </c>
      <c r="N6" s="88">
        <f t="shared" si="5"/>
        <v>184750000.00000003</v>
      </c>
      <c r="O6" s="4">
        <v>0</v>
      </c>
      <c r="P6" s="4">
        <v>0</v>
      </c>
      <c r="Q6" s="88"/>
      <c r="R6" s="88">
        <v>17925.32</v>
      </c>
      <c r="S6" s="4">
        <v>1.3699999999999999E-5</v>
      </c>
      <c r="T6" s="88">
        <f t="shared" si="6"/>
        <v>1308417518.2481751</v>
      </c>
    </row>
    <row r="7" spans="1:29" ht="15.75" customHeight="1" x14ac:dyDescent="0.2">
      <c r="A7" s="92" t="s">
        <v>52</v>
      </c>
      <c r="C7" s="88">
        <f t="shared" si="0"/>
        <v>20987.11</v>
      </c>
      <c r="D7" s="4">
        <f t="shared" si="1"/>
        <v>1.6899999999999999E-4</v>
      </c>
      <c r="E7" s="87">
        <f t="shared" si="2"/>
        <v>124184082.84023669</v>
      </c>
      <c r="F7" s="4">
        <v>0</v>
      </c>
      <c r="G7" s="4">
        <v>0</v>
      </c>
      <c r="H7" s="87"/>
      <c r="I7" s="4">
        <v>0</v>
      </c>
      <c r="J7" s="4">
        <v>0</v>
      </c>
      <c r="K7" s="88"/>
      <c r="L7" s="4">
        <v>0</v>
      </c>
      <c r="M7" s="4">
        <v>0</v>
      </c>
      <c r="N7" s="88"/>
      <c r="O7" s="4">
        <v>0</v>
      </c>
      <c r="P7" s="4">
        <v>0</v>
      </c>
      <c r="Q7" s="88"/>
      <c r="R7" s="88">
        <v>20987.11</v>
      </c>
      <c r="S7" s="4">
        <v>1.5999999999999999E-5</v>
      </c>
      <c r="T7" s="88">
        <f t="shared" si="6"/>
        <v>1311694375</v>
      </c>
    </row>
    <row r="8" spans="1:29" ht="15.75" customHeight="1" x14ac:dyDescent="0.2">
      <c r="A8" s="92" t="s">
        <v>55</v>
      </c>
      <c r="C8" s="88">
        <f t="shared" si="0"/>
        <v>9993.3700000000008</v>
      </c>
      <c r="D8" s="4">
        <f t="shared" si="1"/>
        <v>8.0500000000000005E-5</v>
      </c>
      <c r="E8" s="87">
        <f t="shared" si="2"/>
        <v>124141242.23602484</v>
      </c>
      <c r="F8" s="88">
        <v>2445.83</v>
      </c>
      <c r="G8" s="4">
        <v>9.5999999999999996E-6</v>
      </c>
      <c r="H8" s="87">
        <f t="shared" ref="H8:H9" si="7">F8/G8</f>
        <v>254773958.33333334</v>
      </c>
      <c r="I8" s="88">
        <v>4808.26</v>
      </c>
      <c r="J8" s="4">
        <v>6.8000000000000001E-6</v>
      </c>
      <c r="K8" s="88">
        <f t="shared" ref="K8:K9" si="8">I8/J8</f>
        <v>707097058.82352948</v>
      </c>
      <c r="L8" s="88">
        <v>4090.76</v>
      </c>
      <c r="M8" s="4">
        <v>2.19E-5</v>
      </c>
      <c r="N8" s="88">
        <f t="shared" ref="N8:N9" si="9">L8/M8</f>
        <v>186792694.06392694</v>
      </c>
      <c r="O8" s="88">
        <v>3603.32</v>
      </c>
      <c r="P8" s="4">
        <v>8.0799999999999999E-5</v>
      </c>
      <c r="Q8" s="88">
        <f t="shared" ref="Q8:Q9" si="10">O8/P8</f>
        <v>44595544.554455452</v>
      </c>
      <c r="R8" s="88">
        <v>24941.53</v>
      </c>
      <c r="S8" s="4">
        <v>1.9000000000000001E-5</v>
      </c>
      <c r="T8" s="88">
        <f t="shared" si="6"/>
        <v>1312712105.2631578</v>
      </c>
    </row>
    <row r="9" spans="1:29" ht="15.75" customHeight="1" x14ac:dyDescent="0.2">
      <c r="A9" s="92" t="s">
        <v>62</v>
      </c>
      <c r="C9" s="88">
        <f t="shared" si="0"/>
        <v>325.08</v>
      </c>
      <c r="D9" s="4">
        <f t="shared" si="1"/>
        <v>2.6000000000000001E-6</v>
      </c>
      <c r="E9" s="87">
        <f t="shared" si="2"/>
        <v>125030769.23076922</v>
      </c>
      <c r="F9" s="4">
        <v>237.47</v>
      </c>
      <c r="G9" s="4">
        <v>9.4E-7</v>
      </c>
      <c r="H9" s="87">
        <f t="shared" si="7"/>
        <v>252627659.57446808</v>
      </c>
      <c r="I9" s="88">
        <v>9739.61</v>
      </c>
      <c r="J9" s="4">
        <v>1.3900000000000001E-5</v>
      </c>
      <c r="K9" s="88">
        <f t="shared" si="8"/>
        <v>700691366.90647483</v>
      </c>
      <c r="L9" s="88">
        <v>8683.99</v>
      </c>
      <c r="M9" s="4">
        <v>4.6400000000000003E-5</v>
      </c>
      <c r="N9" s="88">
        <f t="shared" si="9"/>
        <v>187154956.8965517</v>
      </c>
      <c r="O9" s="88">
        <v>5443.6</v>
      </c>
      <c r="P9" s="4">
        <v>1.2210000000000001E-4</v>
      </c>
      <c r="Q9" s="88">
        <f t="shared" si="10"/>
        <v>44583128.583128579</v>
      </c>
      <c r="R9" s="88">
        <v>24429.74</v>
      </c>
      <c r="S9" s="4">
        <v>1.8600000000000001E-5</v>
      </c>
      <c r="T9" s="88">
        <f t="shared" si="6"/>
        <v>1313426881.7204301</v>
      </c>
    </row>
    <row r="10" spans="1:29" ht="15.75" customHeight="1" x14ac:dyDescent="0.2">
      <c r="A10" s="92" t="s">
        <v>70</v>
      </c>
      <c r="C10" s="88">
        <f t="shared" si="0"/>
        <v>0</v>
      </c>
      <c r="D10" s="4"/>
      <c r="E10" s="87"/>
      <c r="H10" s="87"/>
      <c r="K10" s="88"/>
      <c r="N10" s="88"/>
      <c r="Q10" s="88"/>
      <c r="T10" s="88"/>
    </row>
    <row r="11" spans="1:29" ht="15.75" customHeight="1" x14ac:dyDescent="0.2">
      <c r="A11" s="92" t="s">
        <v>88</v>
      </c>
      <c r="C11" s="88">
        <f t="shared" si="0"/>
        <v>21357.63</v>
      </c>
      <c r="D11" s="4">
        <f t="shared" ref="D11:D14" si="11">O47</f>
        <v>1.719E-4</v>
      </c>
      <c r="E11" s="87">
        <f t="shared" ref="E11:E14" si="12">C11/D11</f>
        <v>124244502.61780106</v>
      </c>
      <c r="F11" s="88">
        <v>3720.65</v>
      </c>
      <c r="G11" s="4">
        <v>1.47E-5</v>
      </c>
      <c r="H11" s="87">
        <f t="shared" ref="H11:H14" si="13">F11/G11</f>
        <v>253105442.17687076</v>
      </c>
      <c r="I11" s="88">
        <v>7134.04</v>
      </c>
      <c r="J11" s="4">
        <v>1.0200000000000001E-5</v>
      </c>
      <c r="K11" s="88">
        <f t="shared" ref="K11:K14" si="14">I11/J11</f>
        <v>699415686.27450979</v>
      </c>
      <c r="L11" s="4">
        <v>312.36</v>
      </c>
      <c r="M11" s="4">
        <v>1.7E-6</v>
      </c>
      <c r="N11" s="88">
        <f t="shared" ref="N11:N14" si="15">L11/M11</f>
        <v>183741176.47058824</v>
      </c>
      <c r="O11" s="88">
        <v>4581.01</v>
      </c>
      <c r="P11" s="4">
        <v>1.027E-4</v>
      </c>
      <c r="Q11" s="88">
        <f t="shared" ref="Q11:Q14" si="16">O11/P11</f>
        <v>44605744.888023369</v>
      </c>
      <c r="R11" s="88">
        <v>37105.69</v>
      </c>
      <c r="S11" s="4">
        <v>2.83E-5</v>
      </c>
      <c r="T11" s="88">
        <f t="shared" ref="T11:T14" si="17">R11/S11</f>
        <v>1311155123.6749117</v>
      </c>
    </row>
    <row r="12" spans="1:29" ht="15.75" customHeight="1" x14ac:dyDescent="0.2">
      <c r="A12" s="92" t="s">
        <v>91</v>
      </c>
      <c r="C12" s="88">
        <f t="shared" si="0"/>
        <v>82448.44</v>
      </c>
      <c r="D12" s="4">
        <f t="shared" si="11"/>
        <v>6.6379999999999998E-4</v>
      </c>
      <c r="E12" s="87">
        <f t="shared" si="12"/>
        <v>124206749.0207894</v>
      </c>
      <c r="F12" s="88">
        <v>12007.16</v>
      </c>
      <c r="G12" s="4">
        <v>4.7299999999999998E-5</v>
      </c>
      <c r="H12" s="87">
        <f t="shared" si="13"/>
        <v>253851162.79069769</v>
      </c>
      <c r="I12" s="88">
        <v>47808.59</v>
      </c>
      <c r="J12" s="4">
        <v>6.8100000000000002E-5</v>
      </c>
      <c r="K12" s="88">
        <f t="shared" si="14"/>
        <v>702035095.44787073</v>
      </c>
      <c r="L12" s="88">
        <v>66714.86</v>
      </c>
      <c r="M12" s="4">
        <v>3.567E-4</v>
      </c>
      <c r="N12" s="88">
        <f t="shared" si="15"/>
        <v>187033529.57667509</v>
      </c>
      <c r="O12" s="88">
        <v>114800.72</v>
      </c>
      <c r="P12" s="4">
        <v>2.5745E-3</v>
      </c>
      <c r="Q12" s="88">
        <f t="shared" si="16"/>
        <v>44591462.419887356</v>
      </c>
      <c r="R12" s="88">
        <v>323779.76</v>
      </c>
      <c r="S12" s="4">
        <v>2.4689999999999998E-4</v>
      </c>
      <c r="T12" s="88">
        <f t="shared" si="17"/>
        <v>1311380153.9084651</v>
      </c>
    </row>
    <row r="13" spans="1:29" ht="15.75" customHeight="1" x14ac:dyDescent="0.2">
      <c r="A13" s="92" t="s">
        <v>93</v>
      </c>
      <c r="C13" s="88">
        <f t="shared" si="0"/>
        <v>6004.24</v>
      </c>
      <c r="D13" s="4">
        <f t="shared" si="11"/>
        <v>4.8300000000000002E-5</v>
      </c>
      <c r="E13" s="87">
        <f t="shared" si="12"/>
        <v>124311387.16356106</v>
      </c>
      <c r="F13" s="88">
        <v>2732.13</v>
      </c>
      <c r="G13" s="4">
        <v>1.08E-5</v>
      </c>
      <c r="H13" s="87">
        <f t="shared" si="13"/>
        <v>252975000</v>
      </c>
      <c r="I13" s="88">
        <v>9794.58</v>
      </c>
      <c r="J13" s="4">
        <v>1.4E-5</v>
      </c>
      <c r="K13" s="88">
        <f t="shared" si="14"/>
        <v>699612857.14285719</v>
      </c>
      <c r="L13" s="88">
        <v>7512.44</v>
      </c>
      <c r="M13" s="4">
        <v>4.0200000000000001E-5</v>
      </c>
      <c r="N13" s="88">
        <f t="shared" si="15"/>
        <v>186876616.91542286</v>
      </c>
      <c r="O13" s="108">
        <v>6146</v>
      </c>
      <c r="P13" s="4">
        <v>1.3779999999999999E-4</v>
      </c>
      <c r="Q13" s="88">
        <f t="shared" si="16"/>
        <v>44600870.827285923</v>
      </c>
      <c r="R13" s="88">
        <v>32189.39</v>
      </c>
      <c r="S13" s="4">
        <v>2.4499999999999999E-5</v>
      </c>
      <c r="T13" s="88">
        <f t="shared" si="17"/>
        <v>1313852653.0612245</v>
      </c>
    </row>
    <row r="14" spans="1:29" ht="15.75" customHeight="1" x14ac:dyDescent="0.2">
      <c r="A14" s="92" t="s">
        <v>95</v>
      </c>
      <c r="C14" s="88">
        <f t="shared" si="0"/>
        <v>19739.78</v>
      </c>
      <c r="D14" s="4">
        <f t="shared" si="11"/>
        <v>1.5890000000000001E-4</v>
      </c>
      <c r="E14" s="87">
        <f t="shared" si="12"/>
        <v>124227690.37130269</v>
      </c>
      <c r="F14" s="88">
        <v>29618.42</v>
      </c>
      <c r="G14" s="4">
        <v>1.167E-4</v>
      </c>
      <c r="H14" s="87">
        <f t="shared" si="13"/>
        <v>253799657.24078831</v>
      </c>
      <c r="I14" s="88">
        <v>25173.98</v>
      </c>
      <c r="J14" s="4">
        <v>3.5899999999999998E-5</v>
      </c>
      <c r="K14" s="88">
        <f t="shared" si="14"/>
        <v>701225069.63788307</v>
      </c>
      <c r="L14" s="88">
        <v>4712.45</v>
      </c>
      <c r="M14" s="4">
        <v>2.5199999999999999E-5</v>
      </c>
      <c r="N14" s="88">
        <f t="shared" si="15"/>
        <v>187001984.12698412</v>
      </c>
      <c r="O14" s="88">
        <v>2041.76</v>
      </c>
      <c r="P14" s="4">
        <v>4.5800000000000002E-5</v>
      </c>
      <c r="Q14" s="88">
        <f t="shared" si="16"/>
        <v>44579912.663755454</v>
      </c>
      <c r="R14" s="88">
        <v>81286.39</v>
      </c>
      <c r="S14" s="4">
        <v>6.2000000000000003E-5</v>
      </c>
      <c r="T14" s="88">
        <f t="shared" si="17"/>
        <v>1311070806.4516129</v>
      </c>
    </row>
    <row r="15" spans="1:29" ht="15.75" customHeight="1" x14ac:dyDescent="0.2">
      <c r="A15" s="92" t="s">
        <v>98</v>
      </c>
      <c r="C15" s="88"/>
      <c r="D15" s="4"/>
      <c r="E15" s="87"/>
      <c r="H15" s="87"/>
      <c r="K15" s="87"/>
      <c r="N15" s="87"/>
      <c r="Q15" s="87"/>
      <c r="T15" s="87"/>
    </row>
    <row r="16" spans="1:29" ht="15.75" customHeight="1" x14ac:dyDescent="0.2">
      <c r="A16" s="92" t="s">
        <v>100</v>
      </c>
      <c r="C16" s="88">
        <f>C52</f>
        <v>15983.149166666668</v>
      </c>
      <c r="D16" s="4">
        <f>O52</f>
        <v>1.1878615384615384E-4</v>
      </c>
      <c r="E16" s="88">
        <f>AVERAGE(E3:E9, E11:E14)</f>
        <v>124231849.5227522</v>
      </c>
      <c r="F16" s="92">
        <f>AVERAGE(F3:F15)</f>
        <v>4956.2163636363639</v>
      </c>
      <c r="G16" s="87"/>
      <c r="H16" s="87"/>
      <c r="I16" s="87"/>
      <c r="K16" s="87"/>
      <c r="N16" s="87"/>
      <c r="Q16" s="87"/>
      <c r="T16" s="87"/>
    </row>
    <row r="17" spans="1:29" ht="15.75" customHeight="1" x14ac:dyDescent="0.2">
      <c r="A17" s="4" t="s">
        <v>103</v>
      </c>
      <c r="C17" s="88">
        <f t="shared" ref="C17:T17" si="18">SUM(C3:C15)</f>
        <v>191797.79</v>
      </c>
      <c r="D17" s="90">
        <f t="shared" si="18"/>
        <v>1.54422E-3</v>
      </c>
      <c r="E17" s="88">
        <f t="shared" si="18"/>
        <v>1366550344.7502742</v>
      </c>
      <c r="F17" s="88">
        <f t="shared" si="18"/>
        <v>54518.380000000005</v>
      </c>
      <c r="G17" s="90">
        <f t="shared" si="18"/>
        <v>2.14835E-4</v>
      </c>
      <c r="H17" s="88">
        <f t="shared" si="18"/>
        <v>2532871326.6909938</v>
      </c>
      <c r="I17" s="88">
        <f t="shared" si="18"/>
        <v>109904.59999999999</v>
      </c>
      <c r="J17" s="90">
        <f t="shared" si="18"/>
        <v>1.5670199999999999E-4</v>
      </c>
      <c r="K17" s="88">
        <f t="shared" si="18"/>
        <v>7018048946.8081417</v>
      </c>
      <c r="L17" s="88">
        <f t="shared" si="18"/>
        <v>96418.29</v>
      </c>
      <c r="M17" s="90">
        <f t="shared" si="18"/>
        <v>5.15541E-4</v>
      </c>
      <c r="N17" s="88">
        <f t="shared" si="18"/>
        <v>1869401270.7004616</v>
      </c>
      <c r="O17" s="88">
        <f t="shared" si="18"/>
        <v>138746.83000000002</v>
      </c>
      <c r="P17" s="90">
        <f t="shared" si="18"/>
        <v>3.1114999999999997E-3</v>
      </c>
      <c r="Q17" s="88">
        <f t="shared" si="18"/>
        <v>312126120.00348175</v>
      </c>
      <c r="R17" s="88">
        <f t="shared" si="18"/>
        <v>591385.86</v>
      </c>
      <c r="S17" s="90">
        <f t="shared" si="18"/>
        <v>4.5091E-4</v>
      </c>
      <c r="T17" s="88">
        <f t="shared" si="18"/>
        <v>14401098850.885164</v>
      </c>
    </row>
    <row r="18" spans="1:29" ht="15.75" customHeight="1" x14ac:dyDescent="0.2">
      <c r="A18" s="4" t="s">
        <v>310</v>
      </c>
      <c r="C18" s="88">
        <v>1263097.5900000001</v>
      </c>
      <c r="D18" s="4">
        <v>1.01686E-2</v>
      </c>
      <c r="E18" s="88">
        <f>C18/D18</f>
        <v>124215485.90759791</v>
      </c>
      <c r="F18" s="88">
        <v>191032.23</v>
      </c>
      <c r="G18" s="183">
        <v>7.5270000000000003E-4</v>
      </c>
      <c r="H18" s="88">
        <f>F18/G18</f>
        <v>253795974.49182943</v>
      </c>
      <c r="I18" s="88">
        <v>2019186.76</v>
      </c>
      <c r="J18" s="4">
        <v>2.8763E-3</v>
      </c>
      <c r="K18" s="88">
        <f>I18/J18</f>
        <v>702008399.68014467</v>
      </c>
      <c r="L18" s="88">
        <v>3167516.34</v>
      </c>
      <c r="M18" s="4">
        <v>1.6935499999999999E-2</v>
      </c>
      <c r="N18" s="88">
        <f>L18/M18</f>
        <v>187034120.04369521</v>
      </c>
      <c r="O18" s="88">
        <v>3646858.95</v>
      </c>
      <c r="P18" s="4">
        <v>8.1783700000000001E-2</v>
      </c>
      <c r="Q18" s="88">
        <f>O18/P18</f>
        <v>44591513.345568866</v>
      </c>
      <c r="R18" s="88">
        <v>10287691.880000001</v>
      </c>
      <c r="S18" s="4">
        <v>7.8434000000000004E-3</v>
      </c>
      <c r="T18" s="88">
        <f>R18/S18</f>
        <v>1311636774.868042</v>
      </c>
    </row>
    <row r="20" spans="1:29" ht="15.75" customHeight="1" x14ac:dyDescent="0.2">
      <c r="A20" s="12" t="s">
        <v>311</v>
      </c>
      <c r="B20" s="12"/>
      <c r="C20" s="12" t="s">
        <v>312</v>
      </c>
      <c r="D20" s="12" t="s">
        <v>313</v>
      </c>
      <c r="E20" s="12" t="s">
        <v>314</v>
      </c>
      <c r="F20" s="12" t="s">
        <v>315</v>
      </c>
      <c r="G20" s="12" t="s">
        <v>316</v>
      </c>
      <c r="H20" s="12" t="s">
        <v>317</v>
      </c>
      <c r="I20" s="12" t="s">
        <v>318</v>
      </c>
      <c r="J20" s="12" t="s">
        <v>319</v>
      </c>
      <c r="K20" s="12" t="s">
        <v>320</v>
      </c>
      <c r="L20" s="12" t="s">
        <v>321</v>
      </c>
      <c r="M20" s="12" t="s">
        <v>322</v>
      </c>
      <c r="N20" s="12" t="s">
        <v>323</v>
      </c>
      <c r="O20" s="12" t="s">
        <v>324</v>
      </c>
      <c r="P20" s="184" t="s">
        <v>325</v>
      </c>
      <c r="Q20" s="184" t="s">
        <v>326</v>
      </c>
      <c r="R20" s="184" t="s">
        <v>327</v>
      </c>
      <c r="S20" s="12" t="s">
        <v>328</v>
      </c>
      <c r="T20" s="12" t="s">
        <v>329</v>
      </c>
      <c r="U20" s="12" t="s">
        <v>330</v>
      </c>
      <c r="V20" s="111"/>
      <c r="W20" s="111"/>
      <c r="X20" s="111"/>
      <c r="Y20" s="111"/>
      <c r="Z20" s="111"/>
      <c r="AA20" s="111"/>
      <c r="AB20" s="111"/>
      <c r="AC20" s="111"/>
    </row>
    <row r="21" spans="1:29" ht="15.75" customHeight="1" x14ac:dyDescent="0.2">
      <c r="A21" s="185" t="s">
        <v>331</v>
      </c>
      <c r="C21" s="87">
        <f>(42/1825)*E18</f>
        <v>2858657.7578734863</v>
      </c>
      <c r="E21" s="106">
        <f>C21/C34</f>
        <v>2.1794583779957554E-3</v>
      </c>
      <c r="F21" s="106">
        <f>C21/C29</f>
        <v>2.3013698630136987E-2</v>
      </c>
      <c r="G21" s="106">
        <f>C21/(SUM(C21:C27))</f>
        <v>5.7534167761414026E-2</v>
      </c>
      <c r="I21" s="123">
        <f>(I29*0.6)*G21</f>
        <v>3.1742058353797856E-2</v>
      </c>
      <c r="J21" s="123">
        <f>(J29*0.6)*G21</f>
        <v>1.5814011655643164E-2</v>
      </c>
      <c r="K21" s="123">
        <f>(K29*0.6)*G21</f>
        <v>1.3952827850405043E-2</v>
      </c>
      <c r="L21" s="123">
        <f>(L29*0.6)*G21</f>
        <v>2.9459914490405657E-2</v>
      </c>
      <c r="M21" s="123">
        <f>(M29*0.6)*G21</f>
        <v>3.4520500656848412E-2</v>
      </c>
      <c r="N21" s="123">
        <f>(N29*0.6)*G21</f>
        <v>1.3831394290932804E-2</v>
      </c>
      <c r="O21" s="123">
        <f>(O29*0.6)*G21</f>
        <v>4.5935504649367051E-4</v>
      </c>
      <c r="P21" s="87"/>
      <c r="Q21" s="186">
        <f>(Q29*0.6)*G21</f>
        <v>1.9869623242250053E-2</v>
      </c>
      <c r="R21" s="186">
        <f>(R29*0.6)*G21</f>
        <v>8.7904241672676717E-3</v>
      </c>
      <c r="S21" s="187">
        <f>(S29*0.6)*G21</f>
        <v>6.4390586731800613E-3</v>
      </c>
      <c r="T21" s="187">
        <f>(T29*0.6)*G21</f>
        <v>8.3830403645191176E-3</v>
      </c>
    </row>
    <row r="22" spans="1:29" ht="15.75" customHeight="1" x14ac:dyDescent="0.2">
      <c r="A22" s="188" t="s">
        <v>332</v>
      </c>
      <c r="C22" s="189">
        <f>((70 - 42)/1825)*E18</f>
        <v>1905771.8385823241</v>
      </c>
      <c r="E22" s="106">
        <f>C22/C34</f>
        <v>1.45297225199717E-3</v>
      </c>
      <c r="F22" s="106">
        <f>C22/C29</f>
        <v>1.5342465753424657E-2</v>
      </c>
      <c r="G22" s="106">
        <f>C22/(SUM(C21:C27))</f>
        <v>3.8356111840942682E-2</v>
      </c>
      <c r="H22" s="190"/>
      <c r="I22" s="123">
        <f>(I29*0.6)*G22</f>
        <v>2.1161372235865235E-2</v>
      </c>
      <c r="J22" s="123">
        <f>(J29*0.6)*G22</f>
        <v>1.0542674437095442E-2</v>
      </c>
      <c r="K22" s="123">
        <f>(K29*0.6)*G22</f>
        <v>9.3018852336033617E-3</v>
      </c>
      <c r="L22" s="123">
        <f>(L29*0.6)*G22</f>
        <v>1.9639942993603769E-2</v>
      </c>
      <c r="M22" s="123">
        <f>(M29*0.6)*G22</f>
        <v>2.3013667104565608E-2</v>
      </c>
      <c r="N22" s="123">
        <f>(N29*0.6)*G22</f>
        <v>9.220929527288535E-3</v>
      </c>
      <c r="O22" s="123">
        <f>(O29*0.6)*G22</f>
        <v>3.0623669766244701E-4</v>
      </c>
      <c r="P22" s="191"/>
      <c r="Q22" s="186">
        <f>(Q29*0.6)*G22</f>
        <v>1.3246415494833368E-2</v>
      </c>
      <c r="R22" s="186">
        <f>(R29*0.6)*G22</f>
        <v>5.8602827781784475E-3</v>
      </c>
      <c r="S22" s="187">
        <f>(S29*0.6)*G22</f>
        <v>4.2927057821200406E-3</v>
      </c>
      <c r="T22" s="187">
        <f>(T29*0.6)*G22</f>
        <v>5.5886935763460772E-3</v>
      </c>
      <c r="U22" s="192"/>
      <c r="V22" s="192"/>
      <c r="W22" s="192"/>
      <c r="X22" s="192"/>
      <c r="Y22" s="192"/>
      <c r="Z22" s="192"/>
      <c r="AA22" s="192"/>
      <c r="AB22" s="192"/>
      <c r="AC22" s="192"/>
    </row>
    <row r="23" spans="1:29" ht="15.75" customHeight="1" x14ac:dyDescent="0.2">
      <c r="A23" s="185" t="s">
        <v>333</v>
      </c>
      <c r="C23" s="87">
        <f>((98 - 70)/1825)*E18</f>
        <v>1905771.8385823241</v>
      </c>
      <c r="E23" s="106">
        <f>C23/C34</f>
        <v>1.45297225199717E-3</v>
      </c>
      <c r="F23" s="106">
        <f>C23/C29</f>
        <v>1.5342465753424657E-2</v>
      </c>
      <c r="G23" s="106">
        <f>C23/(SUM(C21:C27))</f>
        <v>3.8356111840942682E-2</v>
      </c>
      <c r="I23" s="123">
        <f>(I29*0.6)*G23</f>
        <v>2.1161372235865235E-2</v>
      </c>
      <c r="J23" s="123">
        <f>(J29*0.6)*G23</f>
        <v>1.0542674437095442E-2</v>
      </c>
      <c r="K23" s="123">
        <f>(K29*0.6)*G23</f>
        <v>9.3018852336033617E-3</v>
      </c>
      <c r="L23" s="123">
        <f>(L29*0.6)*G23</f>
        <v>1.9639942993603769E-2</v>
      </c>
      <c r="M23" s="123">
        <f>(M29*0.6)*G23</f>
        <v>2.3013667104565608E-2</v>
      </c>
      <c r="N23" s="123">
        <f>(N29*0.6)*G23</f>
        <v>9.220929527288535E-3</v>
      </c>
      <c r="O23" s="123">
        <f>(O29*0.6)*G23</f>
        <v>3.0623669766244701E-4</v>
      </c>
      <c r="P23" s="87"/>
      <c r="Q23" s="186">
        <f>(Q29*0.6)*G23</f>
        <v>1.3246415494833368E-2</v>
      </c>
      <c r="R23" s="186">
        <f>(R29*0.6)*G23</f>
        <v>5.8602827781784475E-3</v>
      </c>
      <c r="S23" s="187">
        <f>(S29*0.6)*G23</f>
        <v>4.2927057821200406E-3</v>
      </c>
      <c r="T23" s="187">
        <f>(T29*0.6)*G23</f>
        <v>5.5886935763460772E-3</v>
      </c>
    </row>
    <row r="24" spans="1:29" ht="15.75" customHeight="1" x14ac:dyDescent="0.2">
      <c r="A24" s="185" t="s">
        <v>334</v>
      </c>
      <c r="C24" s="87">
        <f>((273.75 - 98)/1825)*E18</f>
        <v>11962121.451101553</v>
      </c>
      <c r="E24" s="106">
        <f>C24/C34</f>
        <v>9.1199954745893805E-3</v>
      </c>
      <c r="F24" s="106">
        <f>C24/C29</f>
        <v>9.63013698630137E-2</v>
      </c>
      <c r="G24" s="106">
        <f>C24/(SUM(C21:C27))</f>
        <v>0.24075309485877416</v>
      </c>
      <c r="I24" s="123">
        <f>(I29*0.6)*G24</f>
        <v>0.13282539894476125</v>
      </c>
      <c r="J24" s="123">
        <f>(J29*0.6)*G24</f>
        <v>6.6174108297125847E-2</v>
      </c>
      <c r="K24" s="123">
        <f>(K29*0.6)*G24</f>
        <v>5.8385940350206812E-2</v>
      </c>
      <c r="L24" s="123">
        <f>(L29*0.6)*G24</f>
        <v>0.12327571361163796</v>
      </c>
      <c r="M24" s="123">
        <f>(M29*0.6)*G24</f>
        <v>0.14445185691526449</v>
      </c>
      <c r="N24" s="123">
        <f>(N29*0.6)*G24</f>
        <v>5.7877798729320008E-2</v>
      </c>
      <c r="O24" s="123">
        <f>(O29*0.6)*G24</f>
        <v>1.9221821290776808E-3</v>
      </c>
      <c r="P24" s="87"/>
      <c r="Q24" s="186">
        <f>(Q29*0.6)*G24</f>
        <v>8.3144911543463013E-2</v>
      </c>
      <c r="R24" s="186">
        <f>(R29*0.6)*G24</f>
        <v>3.6783739223745081E-2</v>
      </c>
      <c r="S24" s="187">
        <f>(S29*0.6)*G24</f>
        <v>2.6944394328842755E-2</v>
      </c>
      <c r="T24" s="187">
        <f>(T29*0.6)*G24</f>
        <v>3.5079032001529398E-2</v>
      </c>
    </row>
    <row r="25" spans="1:29" ht="15.75" customHeight="1" x14ac:dyDescent="0.2">
      <c r="A25" s="185" t="s">
        <v>335</v>
      </c>
      <c r="C25" s="87">
        <f>((456.25 - 273.75)/1825)*E18</f>
        <v>12421548.590759791</v>
      </c>
      <c r="D25" s="4"/>
      <c r="E25" s="106">
        <f>C25/C34</f>
        <v>9.470265571052983E-3</v>
      </c>
      <c r="F25" s="106">
        <f>C25/C29</f>
        <v>0.1</v>
      </c>
      <c r="G25" s="106">
        <f>C25/(SUM(C21:C27))</f>
        <v>0.2499996575347157</v>
      </c>
      <c r="I25" s="123">
        <f>(I29*0.6)*G25</f>
        <v>0.13792680118019304</v>
      </c>
      <c r="J25" s="123">
        <f>(J29*0.6)*G25</f>
        <v>6.8715645884639937E-2</v>
      </c>
      <c r="K25" s="123">
        <f>(K29*0.6)*G25</f>
        <v>6.0628359111879054E-2</v>
      </c>
      <c r="L25" s="123">
        <f>(L29*0.6)*G25</f>
        <v>0.12801034272616743</v>
      </c>
      <c r="M25" s="123">
        <f>(M29*0.6)*G25</f>
        <v>0.14999979452082943</v>
      </c>
      <c r="N25" s="123">
        <f>(N29*0.6)*G25</f>
        <v>6.0100701383219921E-2</v>
      </c>
      <c r="O25" s="123">
        <f>(O29*0.6)*G25</f>
        <v>1.9960070472641637E-3</v>
      </c>
      <c r="P25" s="87"/>
      <c r="Q25" s="186">
        <f>(Q29*0.6)*G25</f>
        <v>8.633824385025321E-2</v>
      </c>
      <c r="R25" s="186">
        <f>(R29*0.6)*G25</f>
        <v>3.8196485964913096E-2</v>
      </c>
      <c r="S25" s="187">
        <f>(S29*0.6)*G25</f>
        <v>2.7979243044175265E-2</v>
      </c>
      <c r="T25" s="187">
        <f>(T29*0.6)*G25</f>
        <v>3.6426306345827116E-2</v>
      </c>
    </row>
    <row r="26" spans="1:29" ht="15.75" customHeight="1" x14ac:dyDescent="0.2">
      <c r="A26" s="185" t="s">
        <v>336</v>
      </c>
      <c r="C26" s="87">
        <f>((547.501 - 456.25)/1825)*E18</f>
        <v>6210842.3586598439</v>
      </c>
      <c r="D26" s="4"/>
      <c r="E26" s="106">
        <f>C26/C34</f>
        <v>4.7351846773926341E-3</v>
      </c>
      <c r="F26" s="106">
        <f>C26/C29</f>
        <v>5.0000547945205469E-2</v>
      </c>
      <c r="G26" s="106">
        <f>C26/(SUM(C21:C27))</f>
        <v>0.12500119862849501</v>
      </c>
      <c r="I26" s="123">
        <f>(I29*0.6)*G26</f>
        <v>6.8964156353390649E-2</v>
      </c>
      <c r="J26" s="123">
        <f>(J29*0.6)*G26</f>
        <v>3.4358199466407002E-2</v>
      </c>
      <c r="K26" s="123">
        <f>(K29*0.6)*G26</f>
        <v>3.0314511766126439E-2</v>
      </c>
      <c r="L26" s="123">
        <f>(L29*0.6)*G26</f>
        <v>6.4005872789619195E-2</v>
      </c>
      <c r="M26" s="123">
        <f>(M29*0.6)*G26</f>
        <v>7.5000719177097011E-2</v>
      </c>
      <c r="N26" s="123">
        <f>(N29*0.6)*G26</f>
        <v>3.0050680010521646E-2</v>
      </c>
      <c r="O26" s="123">
        <f>(O29*0.6)*G26</f>
        <v>9.980144606569982E-4</v>
      </c>
      <c r="P26" s="87"/>
      <c r="Q26" s="186">
        <f>(Q29*0.6)*G26</f>
        <v>4.3169595011394273E-2</v>
      </c>
      <c r="R26" s="186">
        <f>(R29*0.6)*G26</f>
        <v>1.9098452278270051E-2</v>
      </c>
      <c r="S26" s="187">
        <f>(S29*0.6)*G26</f>
        <v>1.3989774833008421E-2</v>
      </c>
      <c r="T26" s="187">
        <f>(T29*0.6)*G26</f>
        <v>1.821335276911271E-2</v>
      </c>
    </row>
    <row r="27" spans="1:29" ht="15.75" customHeight="1" x14ac:dyDescent="0.2">
      <c r="A27" s="185" t="s">
        <v>337</v>
      </c>
      <c r="C27" s="87">
        <f>((730.001 - 547.501)/1825)*E18</f>
        <v>12421548.590759791</v>
      </c>
      <c r="D27" s="4"/>
      <c r="E27" s="106">
        <f>C27/C34</f>
        <v>9.470265571052983E-3</v>
      </c>
      <c r="F27" s="106">
        <f>C27/C29</f>
        <v>0.1</v>
      </c>
      <c r="G27" s="106">
        <f>C27/(SUM(C21:C27))</f>
        <v>0.2499996575347157</v>
      </c>
      <c r="I27" s="123">
        <f>(I29*0.6)*G27</f>
        <v>0.13792680118019304</v>
      </c>
      <c r="J27" s="123">
        <f>(J29*0.6)*G27</f>
        <v>6.8715645884639937E-2</v>
      </c>
      <c r="K27" s="123">
        <f>(K29*0.6)*G27</f>
        <v>6.0628359111879054E-2</v>
      </c>
      <c r="L27" s="123">
        <f>(L29*0.6)*G27</f>
        <v>0.12801034272616743</v>
      </c>
      <c r="M27" s="123">
        <f>(M29*0.6)*G27</f>
        <v>0.14999979452082943</v>
      </c>
      <c r="N27" s="123">
        <f>(N29*0.6)*G27</f>
        <v>6.0100701383219921E-2</v>
      </c>
      <c r="O27" s="123">
        <f>(O29*0.6)*G27</f>
        <v>1.9960070472641637E-3</v>
      </c>
      <c r="P27" s="87"/>
      <c r="Q27" s="186">
        <f>(Q29*0.6)*G27</f>
        <v>8.633824385025321E-2</v>
      </c>
      <c r="R27" s="186">
        <f>(R29*0.6)*G27</f>
        <v>3.8196485964913096E-2</v>
      </c>
      <c r="S27" s="187">
        <f>(S29*0.6)*G27</f>
        <v>2.7979243044175265E-2</v>
      </c>
      <c r="T27" s="187">
        <f>(T29*0.6)*G27</f>
        <v>3.6426306345827116E-2</v>
      </c>
    </row>
    <row r="28" spans="1:29" ht="15.75" customHeight="1" x14ac:dyDescent="0.2">
      <c r="A28" s="185" t="s">
        <v>338</v>
      </c>
      <c r="C28" s="87">
        <f>((1825 - 730.001)/1825)*E18</f>
        <v>74529223.481278807</v>
      </c>
      <c r="D28" s="4"/>
      <c r="E28" s="106">
        <f>C28/C34</f>
        <v>5.6821541534451764E-2</v>
      </c>
      <c r="F28" s="106">
        <f>C28/C29</f>
        <v>0.59999945205479455</v>
      </c>
      <c r="G28" s="106"/>
      <c r="I28" s="123">
        <f t="shared" ref="I28:O28" si="19">I29*0.4</f>
        <v>0.36780530698937763</v>
      </c>
      <c r="J28" s="123">
        <f t="shared" si="19"/>
        <v>0.18324197337509787</v>
      </c>
      <c r="K28" s="123">
        <f t="shared" si="19"/>
        <v>0.16167584577180211</v>
      </c>
      <c r="L28" s="123">
        <f t="shared" si="19"/>
        <v>0.34136138155413687</v>
      </c>
      <c r="M28" s="123">
        <f t="shared" si="19"/>
        <v>0.4</v>
      </c>
      <c r="N28" s="123">
        <f t="shared" si="19"/>
        <v>0.16026875656786094</v>
      </c>
      <c r="O28" s="123">
        <f t="shared" si="19"/>
        <v>5.3226927507210474E-3</v>
      </c>
      <c r="P28" s="87"/>
      <c r="Q28" s="186">
        <f t="shared" ref="Q28:T28" si="20">Q29*0.4</f>
        <v>0.2302356323248537</v>
      </c>
      <c r="R28" s="186">
        <f t="shared" si="20"/>
        <v>0.10185743543697728</v>
      </c>
      <c r="S28" s="186">
        <f t="shared" si="20"/>
        <v>7.4611416991747906E-2</v>
      </c>
      <c r="T28" s="186">
        <f t="shared" si="20"/>
        <v>9.7136949986338428E-2</v>
      </c>
    </row>
    <row r="29" spans="1:29" ht="15.75" customHeight="1" x14ac:dyDescent="0.2">
      <c r="A29" s="4" t="s">
        <v>339</v>
      </c>
      <c r="C29" s="87">
        <f>E18</f>
        <v>124215485.90759791</v>
      </c>
      <c r="D29" s="87">
        <f>SUM(C21:C28)</f>
        <v>124215485.90759793</v>
      </c>
      <c r="E29" s="106">
        <f>C29/C34</f>
        <v>9.470265571052984E-2</v>
      </c>
      <c r="F29">
        <f>C29/C29</f>
        <v>1</v>
      </c>
      <c r="H29" s="187">
        <f>C17/R17</f>
        <v>0.32431920167993195</v>
      </c>
      <c r="I29" s="187">
        <f>C3/R3</f>
        <v>0.91951326747344397</v>
      </c>
      <c r="J29" s="187">
        <f>C4/R4</f>
        <v>0.45810493343774467</v>
      </c>
      <c r="K29" s="187">
        <f>C5/R5</f>
        <v>0.40418961442950524</v>
      </c>
      <c r="L29" s="187">
        <f>C6/R6</f>
        <v>0.85340345388534211</v>
      </c>
      <c r="M29" s="187">
        <f>C7/R7</f>
        <v>1</v>
      </c>
      <c r="N29" s="187">
        <f>C8/R8</f>
        <v>0.40067189141965232</v>
      </c>
      <c r="O29" s="187">
        <f>C9/R9</f>
        <v>1.3306731876802617E-2</v>
      </c>
      <c r="P29" s="187"/>
      <c r="Q29" s="187">
        <f>C11/R11</f>
        <v>0.57558908081213422</v>
      </c>
      <c r="R29" s="187">
        <f>C12/R12</f>
        <v>0.25464358859244318</v>
      </c>
      <c r="S29" s="187">
        <f>C13/R13</f>
        <v>0.18652854247936976</v>
      </c>
      <c r="T29" s="187">
        <f>C14/R14</f>
        <v>0.24284237496584604</v>
      </c>
    </row>
    <row r="30" spans="1:29" ht="12.75" x14ac:dyDescent="0.2">
      <c r="A30" s="4" t="s">
        <v>340</v>
      </c>
      <c r="C30" s="87">
        <f>H18</f>
        <v>253795974.49182943</v>
      </c>
      <c r="E30" s="106">
        <f>C30/C34</f>
        <v>0.19349562268667156</v>
      </c>
      <c r="H30" s="187">
        <f>F17/R17</f>
        <v>9.2187493289068501E-2</v>
      </c>
      <c r="I30" s="187">
        <f>F3/R3</f>
        <v>5.7346043856174721E-2</v>
      </c>
      <c r="J30" s="187">
        <f>F4/R4</f>
        <v>0.17185164091976934</v>
      </c>
      <c r="K30" s="187">
        <f>F5/R5</f>
        <v>5.741800707243841E-2</v>
      </c>
      <c r="L30" s="123">
        <f>F6/R6</f>
        <v>0.11664840571883794</v>
      </c>
      <c r="M30" s="123">
        <f>F7/R7</f>
        <v>0</v>
      </c>
      <c r="N30" s="123">
        <f>F8/R8</f>
        <v>9.8062548688873541E-2</v>
      </c>
      <c r="O30" s="123">
        <f>F9/R9</f>
        <v>9.7205291583127764E-3</v>
      </c>
      <c r="P30" s="187"/>
      <c r="Q30" s="187">
        <f>F11/R11</f>
        <v>0.10027168339950018</v>
      </c>
      <c r="R30" s="187">
        <f>F12/R12</f>
        <v>3.7084343999760822E-2</v>
      </c>
      <c r="S30" s="187">
        <f>F13/R13</f>
        <v>8.4876724908424794E-2</v>
      </c>
      <c r="T30" s="187">
        <f>F14/R14</f>
        <v>0.3643712065451547</v>
      </c>
    </row>
    <row r="31" spans="1:29" ht="12.75" x14ac:dyDescent="0.2">
      <c r="A31" s="4" t="s">
        <v>342</v>
      </c>
      <c r="C31" s="87">
        <f>K18</f>
        <v>702008399.68014467</v>
      </c>
      <c r="E31" s="106">
        <f>C31/C34</f>
        <v>0.53521555138675536</v>
      </c>
      <c r="H31" s="187">
        <f>I17/R17</f>
        <v>0.18584245487370968</v>
      </c>
      <c r="I31" s="187">
        <f>I3/R3</f>
        <v>1.9720794061586302E-2</v>
      </c>
      <c r="J31" s="187">
        <f>I4/R4</f>
        <v>0.2615505090054816</v>
      </c>
      <c r="K31" s="187">
        <f>I5/R5</f>
        <v>0.22790896699608876</v>
      </c>
      <c r="L31" s="123">
        <f>I6/R6</f>
        <v>2.8711342391656049E-2</v>
      </c>
      <c r="M31" s="123">
        <f>I7/R7</f>
        <v>0</v>
      </c>
      <c r="N31" s="123">
        <f>I8/R8</f>
        <v>0.1927812768502975</v>
      </c>
      <c r="O31" s="123">
        <f>I9/R9</f>
        <v>0.39867841409691629</v>
      </c>
      <c r="P31" s="187"/>
      <c r="Q31" s="187">
        <f>I11/R11</f>
        <v>0.19226269609863067</v>
      </c>
      <c r="R31" s="187">
        <f>I12/R12</f>
        <v>0.14765774735270665</v>
      </c>
      <c r="S31" s="187">
        <f>I13/R13</f>
        <v>0.30427976423287301</v>
      </c>
      <c r="T31" s="187">
        <f>I14/R14</f>
        <v>0.30969489480342283</v>
      </c>
    </row>
    <row r="32" spans="1:29" ht="12.75" x14ac:dyDescent="0.2">
      <c r="A32" s="4" t="s">
        <v>343</v>
      </c>
      <c r="C32" s="87">
        <f>N18</f>
        <v>187034120.04369521</v>
      </c>
      <c r="E32" s="106">
        <f>C32/C34</f>
        <v>0.14259597140565985</v>
      </c>
      <c r="H32" s="187">
        <f>L17/R17</f>
        <v>0.16303786837243622</v>
      </c>
      <c r="I32" s="187">
        <f>L3/R3</f>
        <v>3.419894608795077E-3</v>
      </c>
      <c r="J32" s="187">
        <f>L4/R4</f>
        <v>0.10849291663700435</v>
      </c>
      <c r="K32" s="187">
        <f>L5/R5</f>
        <v>0.20805469480577241</v>
      </c>
      <c r="L32" s="123">
        <f>L6/R6</f>
        <v>1.2367980041639425E-3</v>
      </c>
      <c r="M32" s="123">
        <f>L7/R7</f>
        <v>0</v>
      </c>
      <c r="N32" s="123">
        <f>L8/R8</f>
        <v>0.16401399593368973</v>
      </c>
      <c r="O32" s="123">
        <f>L9/R9</f>
        <v>0.35546796650312279</v>
      </c>
      <c r="P32" s="187"/>
      <c r="Q32" s="187">
        <f>L11/R11</f>
        <v>8.4181159277728016E-3</v>
      </c>
      <c r="R32" s="187">
        <f>L12/R12</f>
        <v>0.20605012493677802</v>
      </c>
      <c r="S32" s="187">
        <f>L13/R13</f>
        <v>0.23338249031746175</v>
      </c>
      <c r="T32" s="187">
        <f>L14/R14</f>
        <v>5.7973419658567685E-2</v>
      </c>
    </row>
    <row r="33" spans="1:29" ht="12.75" x14ac:dyDescent="0.2">
      <c r="A33" s="4" t="s">
        <v>138</v>
      </c>
      <c r="C33" s="87">
        <f>Q18</f>
        <v>44591513.345568866</v>
      </c>
      <c r="E33" s="106">
        <f>C33/C34</f>
        <v>3.3996845925622222E-2</v>
      </c>
      <c r="H33" s="187">
        <f>O17/R17</f>
        <v>0.23461303251315482</v>
      </c>
      <c r="I33" s="187">
        <f>O3/R3</f>
        <v>0</v>
      </c>
      <c r="J33" s="187">
        <f>O4/R4</f>
        <v>0</v>
      </c>
      <c r="K33" s="187">
        <f>O5/R5</f>
        <v>0.10242871669619527</v>
      </c>
      <c r="L33" s="123">
        <f>O6/R6</f>
        <v>0</v>
      </c>
      <c r="M33" s="123">
        <f>O7/R7</f>
        <v>0</v>
      </c>
      <c r="N33" s="123">
        <f>O8/R8</f>
        <v>0.14447068804520014</v>
      </c>
      <c r="O33" s="123">
        <f>O9/R9</f>
        <v>0.22282676770198945</v>
      </c>
      <c r="P33" s="187"/>
      <c r="Q33" s="187">
        <f>O11/R11</f>
        <v>0.12345842376196212</v>
      </c>
      <c r="R33" s="187">
        <f>O12/R12</f>
        <v>0.35456422600350312</v>
      </c>
      <c r="S33" s="187">
        <f>O13/R13</f>
        <v>0.19093247806187069</v>
      </c>
      <c r="T33" s="187">
        <f>O14/R14</f>
        <v>2.5118104027008703E-2</v>
      </c>
    </row>
    <row r="34" spans="1:29" ht="12.75" x14ac:dyDescent="0.2">
      <c r="A34" s="4" t="s">
        <v>344</v>
      </c>
      <c r="C34" s="87">
        <f>T18</f>
        <v>1311636774.868042</v>
      </c>
      <c r="D34" s="87">
        <f>SUM(E18,C30:C33)</f>
        <v>1311645493.4688361</v>
      </c>
      <c r="E34">
        <f>C34/C34</f>
        <v>1</v>
      </c>
      <c r="H34" s="187">
        <f t="shared" ref="H34:O34" si="21">SUM(H29:H33)</f>
        <v>1.0000000507283011</v>
      </c>
      <c r="I34" s="187">
        <f t="shared" si="21"/>
        <v>1</v>
      </c>
      <c r="J34" s="187">
        <f t="shared" si="21"/>
        <v>0.99999999999999989</v>
      </c>
      <c r="K34" s="187">
        <f t="shared" si="21"/>
        <v>1.0000000000000002</v>
      </c>
      <c r="L34" s="187">
        <f t="shared" si="21"/>
        <v>1</v>
      </c>
      <c r="M34" s="187">
        <f t="shared" si="21"/>
        <v>1</v>
      </c>
      <c r="N34" s="187">
        <f t="shared" si="21"/>
        <v>1.0000004009377133</v>
      </c>
      <c r="O34" s="187">
        <f t="shared" si="21"/>
        <v>1.000000409337144</v>
      </c>
      <c r="P34" s="187"/>
      <c r="Q34" s="187">
        <f t="shared" ref="Q34:T34" si="22">SUM(Q29:Q33)</f>
        <v>1</v>
      </c>
      <c r="R34" s="187">
        <f t="shared" si="22"/>
        <v>1.0000000308851917</v>
      </c>
      <c r="S34" s="187">
        <f t="shared" si="22"/>
        <v>1</v>
      </c>
      <c r="T34" s="187">
        <f t="shared" si="22"/>
        <v>1</v>
      </c>
    </row>
    <row r="37" spans="1:29" ht="12.75" x14ac:dyDescent="0.2">
      <c r="A37" s="4"/>
    </row>
    <row r="38" spans="1:29" ht="63.75" x14ac:dyDescent="0.2">
      <c r="A38" s="26" t="s">
        <v>345</v>
      </c>
      <c r="B38" s="27"/>
      <c r="C38" s="26" t="s">
        <v>346</v>
      </c>
      <c r="D38" s="26" t="s">
        <v>347</v>
      </c>
      <c r="E38" s="26" t="s">
        <v>348</v>
      </c>
      <c r="F38" s="26" t="s">
        <v>349</v>
      </c>
      <c r="G38" s="26" t="s">
        <v>350</v>
      </c>
      <c r="H38" s="26" t="s">
        <v>351</v>
      </c>
      <c r="I38" s="26"/>
      <c r="J38" s="26"/>
      <c r="K38" s="26"/>
      <c r="L38" s="40"/>
      <c r="M38" s="26" t="s">
        <v>352</v>
      </c>
      <c r="N38" s="27"/>
      <c r="O38" s="26" t="s">
        <v>346</v>
      </c>
      <c r="P38" s="26" t="s">
        <v>347</v>
      </c>
      <c r="Q38" s="26" t="s">
        <v>348</v>
      </c>
      <c r="R38" s="26" t="s">
        <v>349</v>
      </c>
      <c r="S38" s="26" t="s">
        <v>350</v>
      </c>
      <c r="T38" s="26" t="s">
        <v>351</v>
      </c>
      <c r="U38" s="26"/>
      <c r="V38" s="26"/>
      <c r="W38" s="26"/>
      <c r="X38" s="83"/>
      <c r="Y38" s="83"/>
      <c r="Z38" s="83"/>
      <c r="AA38" s="27"/>
      <c r="AB38" s="27"/>
      <c r="AC38" s="27"/>
    </row>
    <row r="39" spans="1:29" ht="12.75" x14ac:dyDescent="0.2">
      <c r="A39" s="4" t="s">
        <v>40</v>
      </c>
      <c r="C39" s="88">
        <v>7173.5</v>
      </c>
      <c r="D39" s="4">
        <v>18.18</v>
      </c>
      <c r="E39" s="88">
        <v>33515.99</v>
      </c>
      <c r="F39" s="88">
        <v>13544.86</v>
      </c>
      <c r="G39" s="4">
        <v>37.28</v>
      </c>
      <c r="H39" s="88">
        <v>58208.94</v>
      </c>
      <c r="M39" s="4" t="s">
        <v>40</v>
      </c>
      <c r="O39" s="4">
        <v>5.7800000000000002E-5</v>
      </c>
      <c r="P39" s="4">
        <v>1.4999999999999999E-7</v>
      </c>
      <c r="Q39" s="4">
        <v>2.698E-4</v>
      </c>
      <c r="R39" s="4">
        <v>1.059E-4</v>
      </c>
      <c r="S39" s="4">
        <v>2.8999999999999998E-7</v>
      </c>
      <c r="T39" s="4">
        <v>4.5529999999999999E-5</v>
      </c>
    </row>
    <row r="40" spans="1:29" ht="12.75" x14ac:dyDescent="0.2">
      <c r="A40" s="4" t="s">
        <v>42</v>
      </c>
      <c r="C40" s="4">
        <v>64.349999999999994</v>
      </c>
      <c r="D40" s="4">
        <v>35.119999999999997</v>
      </c>
      <c r="E40" s="4">
        <v>112.17</v>
      </c>
      <c r="F40" s="4">
        <v>133.71</v>
      </c>
      <c r="G40" s="4">
        <v>63.64</v>
      </c>
      <c r="H40" s="4">
        <v>285.60000000000002</v>
      </c>
      <c r="M40" s="4" t="s">
        <v>42</v>
      </c>
      <c r="O40">
        <v>5.2E-7</v>
      </c>
      <c r="P40" s="4">
        <v>2.8000000000000002E-7</v>
      </c>
      <c r="Q40" s="4">
        <v>8.9999999999999996E-7</v>
      </c>
      <c r="R40" s="4">
        <v>9.9999999999999995E-7</v>
      </c>
      <c r="S40" s="4">
        <v>4.9999999999999998E-7</v>
      </c>
      <c r="T40" s="4">
        <v>2.2000000000000001E-6</v>
      </c>
    </row>
    <row r="41" spans="1:29" ht="12.75" x14ac:dyDescent="0.2">
      <c r="A41" s="4" t="s">
        <v>44</v>
      </c>
      <c r="C41" s="88">
        <v>8406.76</v>
      </c>
      <c r="D41" s="88">
        <v>6138.6</v>
      </c>
      <c r="E41" s="88">
        <v>11391.86</v>
      </c>
      <c r="F41" s="88">
        <v>13790.04</v>
      </c>
      <c r="G41" s="88">
        <v>10808.65</v>
      </c>
      <c r="H41" s="88">
        <v>17755.2</v>
      </c>
      <c r="M41" s="4" t="s">
        <v>44</v>
      </c>
      <c r="O41" s="92">
        <v>6.7700000000000006E-5</v>
      </c>
      <c r="P41" s="4">
        <v>4.9400000000000001E-5</v>
      </c>
      <c r="Q41" s="4">
        <v>9.1700000000000006E-5</v>
      </c>
      <c r="R41" s="4">
        <v>1.0789999999999999E-4</v>
      </c>
      <c r="S41" s="4">
        <v>8.4499999999999994E-5</v>
      </c>
      <c r="T41" s="4">
        <v>1.3889999999999999E-4</v>
      </c>
    </row>
    <row r="42" spans="1:29" ht="12.75" x14ac:dyDescent="0.2">
      <c r="A42" s="4" t="s">
        <v>48</v>
      </c>
      <c r="C42" s="88">
        <v>15297.53</v>
      </c>
      <c r="D42" s="88">
        <v>5544.32</v>
      </c>
      <c r="E42" s="88">
        <v>32896.86</v>
      </c>
      <c r="F42" s="88">
        <v>52387.31</v>
      </c>
      <c r="G42" s="88">
        <v>20255.400000000001</v>
      </c>
      <c r="H42" s="88">
        <v>110863.11</v>
      </c>
      <c r="I42" s="140"/>
      <c r="K42" s="88"/>
      <c r="M42" s="4" t="s">
        <v>48</v>
      </c>
      <c r="O42" s="4">
        <v>1.2320000000000001E-4</v>
      </c>
      <c r="P42" s="4">
        <v>4.46E-5</v>
      </c>
      <c r="Q42" s="4">
        <v>2.6479999999999999E-4</v>
      </c>
      <c r="R42" s="4">
        <v>4.0979999999999999E-4</v>
      </c>
      <c r="S42" s="4">
        <v>1.584E-4</v>
      </c>
      <c r="T42" s="4">
        <v>8.6720000000000005E-4</v>
      </c>
    </row>
    <row r="43" spans="1:29" ht="12.75" x14ac:dyDescent="0.2">
      <c r="A43" s="4" t="s">
        <v>52</v>
      </c>
      <c r="C43" s="88">
        <v>20987.11</v>
      </c>
      <c r="D43" s="88">
        <v>-1164.25</v>
      </c>
      <c r="E43" s="88">
        <v>39659.82</v>
      </c>
      <c r="F43" s="88">
        <v>27932.35</v>
      </c>
      <c r="G43" s="88">
        <v>-1639.79</v>
      </c>
      <c r="H43" s="88">
        <v>52350.13</v>
      </c>
      <c r="M43" s="4" t="s">
        <v>52</v>
      </c>
      <c r="O43" s="4">
        <v>1.6899999999999999E-4</v>
      </c>
      <c r="P43" s="4">
        <v>-9.3999999999999998E-6</v>
      </c>
      <c r="Q43" s="4">
        <v>3.1930000000000001E-4</v>
      </c>
      <c r="R43" s="4">
        <v>2.185E-4</v>
      </c>
      <c r="S43" s="4">
        <v>-1.2799999999999999E-5</v>
      </c>
      <c r="T43" s="4">
        <v>4.0949999999999998E-4</v>
      </c>
    </row>
    <row r="44" spans="1:29" ht="12.75" x14ac:dyDescent="0.2">
      <c r="A44" s="4" t="s">
        <v>55</v>
      </c>
      <c r="C44" s="108">
        <v>9993.3700000000008</v>
      </c>
      <c r="D44" s="108">
        <v>7168.24</v>
      </c>
      <c r="E44" s="108">
        <v>14044.01</v>
      </c>
      <c r="F44" s="88">
        <v>12682.86</v>
      </c>
      <c r="G44" s="4">
        <v>9464.89</v>
      </c>
      <c r="H44" s="88">
        <v>17219.63</v>
      </c>
      <c r="I44" s="140"/>
      <c r="M44" s="4" t="s">
        <v>55</v>
      </c>
      <c r="O44" s="4">
        <v>8.0500000000000005E-5</v>
      </c>
      <c r="P44" s="4">
        <v>5.77E-5</v>
      </c>
      <c r="Q44" s="4">
        <v>1.131E-4</v>
      </c>
      <c r="R44" s="4">
        <v>5.7399999999999999E-5</v>
      </c>
      <c r="S44" s="4">
        <v>3.9400000000000002E-5</v>
      </c>
      <c r="T44" s="4">
        <v>8.3300000000000005E-5</v>
      </c>
    </row>
    <row r="45" spans="1:29" ht="12.75" x14ac:dyDescent="0.2">
      <c r="A45" s="4" t="s">
        <v>62</v>
      </c>
      <c r="C45" s="4">
        <v>325.08</v>
      </c>
      <c r="D45" s="4">
        <v>110.19</v>
      </c>
      <c r="E45" s="4">
        <v>786.5</v>
      </c>
      <c r="F45" s="4">
        <v>386.64</v>
      </c>
      <c r="G45" s="4">
        <v>137.07</v>
      </c>
      <c r="H45" s="4">
        <v>919.57</v>
      </c>
      <c r="M45" s="4" t="s">
        <v>62</v>
      </c>
      <c r="O45" s="4">
        <v>2.6000000000000001E-6</v>
      </c>
      <c r="P45" s="4">
        <v>8.8999999999999995E-7</v>
      </c>
      <c r="Q45" s="4">
        <v>6.2999999999999998E-6</v>
      </c>
      <c r="R45" s="4">
        <v>3.0000000000000001E-6</v>
      </c>
      <c r="S45" s="4">
        <v>1.1000000000000001E-6</v>
      </c>
      <c r="T45" s="4">
        <v>7.1999999999999997E-6</v>
      </c>
    </row>
    <row r="46" spans="1:29" ht="12.75" x14ac:dyDescent="0.2">
      <c r="A46" s="4" t="s">
        <v>70</v>
      </c>
      <c r="C46" s="4"/>
      <c r="D46" s="4">
        <v>0</v>
      </c>
      <c r="E46" s="4">
        <v>0</v>
      </c>
      <c r="F46" s="4">
        <v>0</v>
      </c>
      <c r="G46" s="4">
        <v>0</v>
      </c>
      <c r="H46" s="4">
        <v>0</v>
      </c>
      <c r="I46" s="4"/>
      <c r="J46" s="4"/>
      <c r="M46" s="4" t="s">
        <v>70</v>
      </c>
      <c r="O46" s="4">
        <v>0</v>
      </c>
      <c r="P46" s="4">
        <v>0</v>
      </c>
      <c r="Q46" s="4">
        <v>0</v>
      </c>
      <c r="R46" s="4">
        <v>0</v>
      </c>
      <c r="S46" s="4">
        <v>0</v>
      </c>
      <c r="T46" s="4">
        <v>0</v>
      </c>
      <c r="U46" s="4"/>
      <c r="V46" s="4"/>
      <c r="W46" s="4"/>
    </row>
    <row r="47" spans="1:29" ht="12.75" x14ac:dyDescent="0.2">
      <c r="A47" s="4" t="s">
        <v>88</v>
      </c>
      <c r="C47" s="88">
        <v>21357.63</v>
      </c>
      <c r="D47" s="88">
        <v>13150.83</v>
      </c>
      <c r="E47" s="88">
        <v>33967.01</v>
      </c>
      <c r="F47" s="88">
        <v>38070.51</v>
      </c>
      <c r="G47" s="88">
        <v>23744.94</v>
      </c>
      <c r="H47" s="88">
        <v>61709.8</v>
      </c>
      <c r="M47" s="4" t="s">
        <v>88</v>
      </c>
      <c r="O47" s="92">
        <v>1.719E-4</v>
      </c>
      <c r="P47" s="4">
        <v>1.059E-4</v>
      </c>
      <c r="Q47" s="4">
        <v>2.7349999999999998E-4</v>
      </c>
      <c r="R47" s="4">
        <v>2.9779999999999997E-4</v>
      </c>
      <c r="S47" s="4">
        <v>1.8569999999999999E-4</v>
      </c>
      <c r="T47" s="4">
        <v>4.8270000000000002E-4</v>
      </c>
    </row>
    <row r="48" spans="1:29" ht="12.75" x14ac:dyDescent="0.2">
      <c r="A48" s="4" t="s">
        <v>91</v>
      </c>
      <c r="C48" s="88">
        <v>82448.44</v>
      </c>
      <c r="D48" s="88">
        <v>51126.48</v>
      </c>
      <c r="E48" s="88">
        <v>112117.5</v>
      </c>
      <c r="F48" s="88">
        <v>109729.7</v>
      </c>
      <c r="G48" s="88">
        <v>66470.600000000006</v>
      </c>
      <c r="H48" s="88">
        <v>149111.18</v>
      </c>
      <c r="I48" s="140"/>
      <c r="M48" s="4" t="s">
        <v>91</v>
      </c>
      <c r="O48" s="92">
        <v>6.6379999999999998E-4</v>
      </c>
      <c r="P48" s="4">
        <v>4.1159999999999998E-4</v>
      </c>
      <c r="Q48" s="4">
        <v>9.0260000000000004E-4</v>
      </c>
      <c r="R48" s="4">
        <v>8.5829999999999999E-4</v>
      </c>
      <c r="S48" s="4">
        <v>5.1990000000000001E-4</v>
      </c>
      <c r="T48" s="4">
        <v>1.1693999999999999E-3</v>
      </c>
    </row>
    <row r="49" spans="1:29" ht="12.75" x14ac:dyDescent="0.2">
      <c r="A49" s="4" t="s">
        <v>93</v>
      </c>
      <c r="C49" s="108">
        <v>6004.24</v>
      </c>
      <c r="D49" s="108">
        <v>4086.48</v>
      </c>
      <c r="E49" s="108">
        <v>9129.4500000000007</v>
      </c>
      <c r="F49" s="88">
        <v>7344.19</v>
      </c>
      <c r="G49" s="88">
        <v>5035.9399999999996</v>
      </c>
      <c r="H49" s="88">
        <v>10647.77</v>
      </c>
      <c r="I49" s="140"/>
      <c r="M49" s="4" t="s">
        <v>93</v>
      </c>
      <c r="O49" s="92">
        <v>4.8300000000000002E-5</v>
      </c>
      <c r="P49" s="4">
        <v>3.29E-5</v>
      </c>
      <c r="Q49" s="4">
        <v>7.3499999999999998E-5</v>
      </c>
      <c r="R49" s="4">
        <v>5.7399999999999999E-5</v>
      </c>
      <c r="S49" s="4">
        <v>3.9400000000000002E-5</v>
      </c>
      <c r="T49" s="4">
        <v>8.3300000000000005E-5</v>
      </c>
    </row>
    <row r="50" spans="1:29" ht="12.75" x14ac:dyDescent="0.2">
      <c r="A50" s="4" t="s">
        <v>95</v>
      </c>
      <c r="C50" s="88">
        <v>19739.78</v>
      </c>
      <c r="D50" s="88">
        <v>10462.02</v>
      </c>
      <c r="E50" s="88">
        <v>34565.79</v>
      </c>
      <c r="F50" s="88">
        <v>21103.01</v>
      </c>
      <c r="G50" s="88">
        <v>10937.82</v>
      </c>
      <c r="H50" s="88">
        <v>36927.279999999999</v>
      </c>
      <c r="M50" s="4" t="s">
        <v>95</v>
      </c>
      <c r="O50" s="92">
        <v>1.5890000000000001E-4</v>
      </c>
      <c r="P50" s="4">
        <v>8.42E-5</v>
      </c>
      <c r="Q50" s="4">
        <v>2.7829999999999999E-4</v>
      </c>
      <c r="R50" s="4">
        <v>1.651E-4</v>
      </c>
      <c r="S50" s="4">
        <v>8.5599999999999994E-5</v>
      </c>
      <c r="T50" s="4">
        <v>2.8880000000000003E-4</v>
      </c>
    </row>
    <row r="51" spans="1:29" ht="12.75" x14ac:dyDescent="0.2">
      <c r="A51" s="4" t="s">
        <v>98</v>
      </c>
      <c r="C51" s="4">
        <v>0</v>
      </c>
      <c r="D51" s="4">
        <v>0</v>
      </c>
      <c r="E51" s="4">
        <v>0</v>
      </c>
      <c r="F51" s="4">
        <v>0</v>
      </c>
      <c r="G51" s="4">
        <v>0</v>
      </c>
      <c r="H51" s="4">
        <v>0</v>
      </c>
      <c r="I51" s="4"/>
      <c r="J51" s="4"/>
      <c r="M51" s="4" t="s">
        <v>98</v>
      </c>
      <c r="O51" s="92">
        <v>0</v>
      </c>
      <c r="P51" s="4">
        <v>0</v>
      </c>
      <c r="Q51" s="4">
        <v>0</v>
      </c>
      <c r="R51" s="4">
        <v>0</v>
      </c>
      <c r="S51" s="4">
        <v>0</v>
      </c>
      <c r="T51" s="4">
        <v>0</v>
      </c>
      <c r="U51" s="4"/>
      <c r="V51" s="4"/>
      <c r="W51" s="4"/>
    </row>
    <row r="52" spans="1:29" ht="12.75" x14ac:dyDescent="0.2">
      <c r="A52" s="4" t="s">
        <v>100</v>
      </c>
      <c r="C52" s="88">
        <f t="shared" ref="C52:H52" si="23">AVERAGE(C39:C51)</f>
        <v>15983.149166666668</v>
      </c>
      <c r="D52" s="92">
        <f t="shared" si="23"/>
        <v>7436.6315384615382</v>
      </c>
      <c r="E52" s="88">
        <f t="shared" si="23"/>
        <v>24783.61230769231</v>
      </c>
      <c r="F52" s="88">
        <f t="shared" si="23"/>
        <v>22854.244615384614</v>
      </c>
      <c r="G52" s="92">
        <f t="shared" si="23"/>
        <v>11178.187692307692</v>
      </c>
      <c r="H52" s="88">
        <f t="shared" si="23"/>
        <v>39692.170000000006</v>
      </c>
      <c r="I52" s="92"/>
      <c r="J52" s="92"/>
      <c r="M52" s="4" t="s">
        <v>100</v>
      </c>
      <c r="O52" s="92">
        <f t="shared" ref="O52:T52" si="24">AVERAGE(O39:O51)</f>
        <v>1.1878615384615384E-4</v>
      </c>
      <c r="P52" s="92">
        <f t="shared" si="24"/>
        <v>5.9863076923076923E-5</v>
      </c>
      <c r="Q52" s="92">
        <f t="shared" si="24"/>
        <v>1.9952307692307691E-4</v>
      </c>
      <c r="R52" s="92">
        <f t="shared" si="24"/>
        <v>1.7554615384615384E-4</v>
      </c>
      <c r="S52" s="92">
        <f t="shared" si="24"/>
        <v>8.4768461538461541E-5</v>
      </c>
      <c r="T52" s="92">
        <f t="shared" si="24"/>
        <v>2.7523307692307696E-4</v>
      </c>
      <c r="U52" s="92"/>
      <c r="V52" s="92"/>
      <c r="W52" s="92"/>
    </row>
    <row r="53" spans="1:29" ht="12.75" x14ac:dyDescent="0.2">
      <c r="A53" s="4" t="s">
        <v>103</v>
      </c>
      <c r="C53" s="87">
        <f t="shared" ref="C53:H53" si="25">SUM(C39:C51)</f>
        <v>191797.79</v>
      </c>
      <c r="D53">
        <f t="shared" si="25"/>
        <v>96676.209999999992</v>
      </c>
      <c r="E53" s="87">
        <f t="shared" si="25"/>
        <v>322186.96000000002</v>
      </c>
      <c r="F53" s="87">
        <f t="shared" si="25"/>
        <v>297105.18</v>
      </c>
      <c r="G53">
        <f t="shared" si="25"/>
        <v>145316.44</v>
      </c>
      <c r="H53" s="87">
        <f t="shared" si="25"/>
        <v>515998.21000000008</v>
      </c>
      <c r="M53" s="4" t="s">
        <v>103</v>
      </c>
      <c r="O53">
        <f t="shared" ref="O53:T53" si="26">SUM(O39:O51)</f>
        <v>1.54422E-3</v>
      </c>
      <c r="P53">
        <f t="shared" si="26"/>
        <v>7.7822000000000004E-4</v>
      </c>
      <c r="Q53">
        <f t="shared" si="26"/>
        <v>2.5937999999999998E-3</v>
      </c>
      <c r="R53">
        <f t="shared" si="26"/>
        <v>2.2821E-3</v>
      </c>
      <c r="S53">
        <f t="shared" si="26"/>
        <v>1.10199E-3</v>
      </c>
      <c r="T53">
        <f t="shared" si="26"/>
        <v>3.5780300000000003E-3</v>
      </c>
    </row>
    <row r="54" spans="1:29" ht="12.75" x14ac:dyDescent="0.2">
      <c r="A54" s="4"/>
    </row>
    <row r="55" spans="1:29" ht="63.75" x14ac:dyDescent="0.2">
      <c r="A55" s="26" t="s">
        <v>353</v>
      </c>
      <c r="B55" s="27"/>
      <c r="C55" s="26" t="s">
        <v>346</v>
      </c>
      <c r="D55" s="26" t="s">
        <v>347</v>
      </c>
      <c r="E55" s="26" t="s">
        <v>348</v>
      </c>
      <c r="F55" s="26" t="s">
        <v>349</v>
      </c>
      <c r="G55" s="26" t="s">
        <v>350</v>
      </c>
      <c r="H55" s="26" t="s">
        <v>351</v>
      </c>
      <c r="I55" s="26"/>
      <c r="J55" s="26"/>
      <c r="K55" s="26"/>
      <c r="L55" s="40"/>
      <c r="M55" s="26" t="s">
        <v>32</v>
      </c>
      <c r="N55" s="27"/>
      <c r="O55" s="26" t="s">
        <v>346</v>
      </c>
      <c r="P55" s="26" t="s">
        <v>347</v>
      </c>
      <c r="Q55" s="26" t="s">
        <v>348</v>
      </c>
      <c r="R55" s="26" t="s">
        <v>349</v>
      </c>
      <c r="S55" s="26" t="s">
        <v>350</v>
      </c>
      <c r="T55" s="26" t="s">
        <v>351</v>
      </c>
      <c r="U55" s="26"/>
      <c r="V55" s="26"/>
      <c r="W55" s="26"/>
      <c r="X55" s="83"/>
      <c r="Y55" s="83"/>
      <c r="Z55" s="83"/>
      <c r="AA55" s="26"/>
      <c r="AB55" s="26"/>
      <c r="AC55" s="26"/>
    </row>
    <row r="56" spans="1:29" ht="12.75" x14ac:dyDescent="0.2">
      <c r="A56" s="4" t="s">
        <v>40</v>
      </c>
      <c r="C56" s="88">
        <v>634197.27</v>
      </c>
      <c r="D56" s="88">
        <v>23324.27</v>
      </c>
      <c r="E56" s="88">
        <v>2877818.85</v>
      </c>
      <c r="F56" s="88">
        <v>1185862.8</v>
      </c>
      <c r="G56" s="88">
        <v>32677.21</v>
      </c>
      <c r="H56" s="88">
        <v>4988304.53</v>
      </c>
      <c r="M56" s="4" t="s">
        <v>40</v>
      </c>
      <c r="O56" s="90">
        <v>5.1056000000000001E-3</v>
      </c>
      <c r="P56" s="4">
        <v>1.8780000000000001E-4</v>
      </c>
      <c r="Q56" s="90">
        <v>2.3167900000000002E-2</v>
      </c>
      <c r="R56" s="197">
        <v>9.2759999999999995E-3</v>
      </c>
      <c r="S56" s="4">
        <v>2.5559999999999998E-4</v>
      </c>
      <c r="T56" s="90">
        <v>3.9019100000000001E-2</v>
      </c>
    </row>
    <row r="57" spans="1:29" ht="12.75" x14ac:dyDescent="0.2">
      <c r="A57" s="4" t="s">
        <v>42</v>
      </c>
      <c r="C57" s="88">
        <v>5481.62</v>
      </c>
      <c r="D57" s="88">
        <v>2996.33</v>
      </c>
      <c r="E57" s="88">
        <v>9561.0300000000007</v>
      </c>
      <c r="F57" s="88">
        <v>11384.02</v>
      </c>
      <c r="G57" s="88">
        <v>5430.16</v>
      </c>
      <c r="H57" s="88">
        <v>24215.96</v>
      </c>
      <c r="M57" s="4" t="s">
        <v>42</v>
      </c>
      <c r="O57" s="4">
        <v>4.4100000000000001E-5</v>
      </c>
      <c r="P57" s="4">
        <v>2.41E-5</v>
      </c>
      <c r="Q57" s="4">
        <v>7.7000000000000001E-5</v>
      </c>
      <c r="R57" s="4">
        <v>8.8999999999999995E-5</v>
      </c>
      <c r="S57" s="4">
        <v>4.2500000000000003E-5</v>
      </c>
      <c r="T57" s="4">
        <v>1.894E-4</v>
      </c>
    </row>
    <row r="58" spans="1:29" ht="12.75" x14ac:dyDescent="0.2">
      <c r="A58" s="4" t="s">
        <v>44</v>
      </c>
      <c r="C58" s="88">
        <v>725010.6</v>
      </c>
      <c r="D58" s="88">
        <v>529713.89</v>
      </c>
      <c r="E58" s="88">
        <v>982486.82</v>
      </c>
      <c r="F58" s="88">
        <v>1189650.73</v>
      </c>
      <c r="G58" s="88">
        <v>931595.86</v>
      </c>
      <c r="H58" s="88">
        <v>1531187.25</v>
      </c>
      <c r="M58" s="4" t="s">
        <v>44</v>
      </c>
      <c r="O58" s="90">
        <v>5.8367000000000002E-3</v>
      </c>
      <c r="P58" s="90">
        <v>4.2645000000000001E-3</v>
      </c>
      <c r="Q58" s="90">
        <v>7.9094999999999999E-3</v>
      </c>
      <c r="R58" s="90">
        <v>9.3056000000000007E-3</v>
      </c>
      <c r="S58" s="90">
        <v>7.2871000000000003E-3</v>
      </c>
      <c r="T58" s="90">
        <v>1.1977099999999999E-2</v>
      </c>
    </row>
    <row r="59" spans="1:29" ht="12.75" x14ac:dyDescent="0.2">
      <c r="A59" s="4" t="s">
        <v>48</v>
      </c>
      <c r="C59" s="88">
        <v>1302846.3500000001</v>
      </c>
      <c r="D59" s="88">
        <v>472706.6</v>
      </c>
      <c r="E59" s="88">
        <v>2801692.98</v>
      </c>
      <c r="F59" s="88">
        <v>4460884.8600000003</v>
      </c>
      <c r="G59" s="88">
        <v>1726096.78</v>
      </c>
      <c r="H59" s="88">
        <v>9443264.8399999999</v>
      </c>
      <c r="M59" s="4" t="s">
        <v>48</v>
      </c>
      <c r="O59" s="90">
        <v>1.0488600000000001E-2</v>
      </c>
      <c r="P59" s="90">
        <v>3.8054999999999999E-3</v>
      </c>
      <c r="Q59" s="90">
        <v>2.2554999999999999E-2</v>
      </c>
      <c r="R59" s="90">
        <v>3.4893599999999997E-2</v>
      </c>
      <c r="S59" s="90">
        <v>1.35017E-2</v>
      </c>
      <c r="T59" s="90">
        <v>7.3866299999999996E-2</v>
      </c>
    </row>
    <row r="60" spans="1:29" ht="12.75" x14ac:dyDescent="0.2">
      <c r="A60" s="4" t="s">
        <v>52</v>
      </c>
      <c r="C60" s="88">
        <v>1804934.25</v>
      </c>
      <c r="D60" s="88">
        <v>-100211.69</v>
      </c>
      <c r="E60" s="88">
        <v>3407230.42</v>
      </c>
      <c r="F60" s="88">
        <v>2398392.31</v>
      </c>
      <c r="G60" s="88">
        <v>-140872.84</v>
      </c>
      <c r="H60" s="88">
        <v>4494324.21</v>
      </c>
      <c r="M60" s="4" t="s">
        <v>52</v>
      </c>
      <c r="O60" s="90">
        <v>1.4530599999999999E-2</v>
      </c>
      <c r="P60" s="90">
        <v>-8.0679999999999999E-4</v>
      </c>
      <c r="Q60" s="90">
        <v>2.74299E-2</v>
      </c>
      <c r="R60" s="90">
        <v>1.8760499999999999E-2</v>
      </c>
      <c r="S60" s="90">
        <v>-1.1019000000000001E-3</v>
      </c>
      <c r="T60" s="90">
        <v>3.5155100000000002E-2</v>
      </c>
    </row>
    <row r="61" spans="1:29" ht="12.75" x14ac:dyDescent="0.2">
      <c r="A61" s="4" t="s">
        <v>55</v>
      </c>
      <c r="C61" s="88">
        <v>861193.8</v>
      </c>
      <c r="D61" s="88">
        <v>619400.56000000006</v>
      </c>
      <c r="E61" s="88">
        <v>1209058.3899999999</v>
      </c>
      <c r="F61" s="88">
        <v>1091912.22</v>
      </c>
      <c r="G61" s="88">
        <v>816317.2</v>
      </c>
      <c r="H61" s="88">
        <v>1479029.38</v>
      </c>
      <c r="M61" s="4" t="s">
        <v>55</v>
      </c>
      <c r="O61" s="90">
        <v>6.9329999999999999E-3</v>
      </c>
      <c r="P61" s="90">
        <v>4.9864999999999996E-3</v>
      </c>
      <c r="Q61" s="90">
        <v>9.7335000000000008E-3</v>
      </c>
      <c r="R61" s="90">
        <v>8.5410999999999994E-3</v>
      </c>
      <c r="S61" s="90">
        <v>6.3853E-3</v>
      </c>
      <c r="T61" s="90">
        <v>1.1569100000000001E-2</v>
      </c>
    </row>
    <row r="62" spans="1:29" ht="12.75" x14ac:dyDescent="0.2">
      <c r="A62" s="4" t="s">
        <v>62</v>
      </c>
      <c r="C62" s="88">
        <v>28097.53</v>
      </c>
      <c r="D62" s="88">
        <v>9860.1200000000008</v>
      </c>
      <c r="E62" s="88">
        <v>67617.56</v>
      </c>
      <c r="F62" s="88">
        <v>33348.46</v>
      </c>
      <c r="G62" s="88">
        <v>12015.36</v>
      </c>
      <c r="H62" s="88">
        <v>78864.990000000005</v>
      </c>
      <c r="M62" s="4" t="s">
        <v>62</v>
      </c>
      <c r="O62" s="90">
        <v>2.262E-4</v>
      </c>
      <c r="P62" s="90">
        <v>7.9400000000000006E-5</v>
      </c>
      <c r="Q62" s="90">
        <v>5.4440000000000001E-4</v>
      </c>
      <c r="R62" s="90">
        <v>2.609E-4</v>
      </c>
      <c r="S62" s="90">
        <v>9.3999999999999994E-5</v>
      </c>
      <c r="T62" s="90">
        <v>6.1689999999999998E-4</v>
      </c>
    </row>
    <row r="63" spans="1:29" ht="12.75" x14ac:dyDescent="0.2">
      <c r="A63" s="4" t="s">
        <v>70</v>
      </c>
      <c r="C63" s="88">
        <v>0</v>
      </c>
      <c r="D63" s="88">
        <v>0</v>
      </c>
      <c r="E63" s="88">
        <v>0</v>
      </c>
      <c r="F63" s="88">
        <v>0</v>
      </c>
      <c r="G63" s="88">
        <v>0</v>
      </c>
      <c r="H63" s="88">
        <v>0</v>
      </c>
      <c r="M63" s="4" t="s">
        <v>70</v>
      </c>
      <c r="O63" s="90">
        <v>0</v>
      </c>
      <c r="P63" s="90">
        <v>0</v>
      </c>
      <c r="Q63" s="90">
        <v>0</v>
      </c>
      <c r="R63" s="90">
        <v>0</v>
      </c>
      <c r="S63" s="90">
        <v>0</v>
      </c>
      <c r="T63" s="90">
        <v>0</v>
      </c>
    </row>
    <row r="64" spans="1:29" ht="12.75" x14ac:dyDescent="0.2">
      <c r="A64" s="4" t="s">
        <v>88</v>
      </c>
      <c r="C64" s="88">
        <v>1939234.36</v>
      </c>
      <c r="D64" s="88">
        <v>1204621.58</v>
      </c>
      <c r="E64" s="88">
        <v>3087714.67</v>
      </c>
      <c r="F64" s="88">
        <v>3391083.07</v>
      </c>
      <c r="G64" s="88">
        <v>2106243.9300000002</v>
      </c>
      <c r="H64" s="88">
        <v>5485464.4500000002</v>
      </c>
      <c r="M64" s="4" t="s">
        <v>88</v>
      </c>
      <c r="O64" s="90">
        <v>1.56118E-2</v>
      </c>
      <c r="P64" s="90">
        <v>9.6977999999999995E-3</v>
      </c>
      <c r="Q64" s="90">
        <v>2.48577E-2</v>
      </c>
      <c r="R64" s="90">
        <v>2.65255E-2</v>
      </c>
      <c r="S64" s="90">
        <v>1.6475299999999998E-2</v>
      </c>
      <c r="T64" s="90">
        <v>4.2908000000000002E-2</v>
      </c>
    </row>
    <row r="65" spans="1:29" ht="12.75" x14ac:dyDescent="0.2">
      <c r="A65" s="4" t="s">
        <v>91</v>
      </c>
      <c r="C65" s="88">
        <v>7091214.1699999999</v>
      </c>
      <c r="D65" s="88">
        <v>4400960.45</v>
      </c>
      <c r="E65" s="88">
        <v>9624104.3800000008</v>
      </c>
      <c r="F65" s="88">
        <v>9422609.1699999999</v>
      </c>
      <c r="G65" s="88">
        <v>5714034.5199999996</v>
      </c>
      <c r="H65" s="88">
        <v>12781844.279999999</v>
      </c>
      <c r="M65" s="4" t="s">
        <v>91</v>
      </c>
      <c r="O65" s="90">
        <v>5.7087800000000001E-2</v>
      </c>
      <c r="P65" s="90">
        <v>3.54299E-2</v>
      </c>
      <c r="Q65" s="90">
        <v>7.7478900000000003E-2</v>
      </c>
      <c r="R65" s="90">
        <v>7.3704800000000001E-2</v>
      </c>
      <c r="S65" s="90">
        <v>4.4695899999999997E-2</v>
      </c>
      <c r="T65" s="90">
        <v>9.9981100000000003E-2</v>
      </c>
    </row>
    <row r="66" spans="1:29" ht="12.75" x14ac:dyDescent="0.2">
      <c r="A66" s="4" t="s">
        <v>93</v>
      </c>
      <c r="C66" s="88">
        <v>522743.88</v>
      </c>
      <c r="D66" s="88">
        <v>359960.36</v>
      </c>
      <c r="E66" s="88">
        <v>789291.33</v>
      </c>
      <c r="F66" s="88">
        <v>637584.55000000005</v>
      </c>
      <c r="G66" s="88">
        <v>441159.21</v>
      </c>
      <c r="H66" s="88">
        <v>919142.26</v>
      </c>
      <c r="M66" s="4" t="s">
        <v>93</v>
      </c>
      <c r="O66" s="90">
        <v>4.2084000000000002E-3</v>
      </c>
      <c r="P66" s="90">
        <v>2.8979000000000001E-3</v>
      </c>
      <c r="Q66" s="90">
        <v>6.3542E-3</v>
      </c>
      <c r="R66" s="90">
        <v>4.9873000000000001E-3</v>
      </c>
      <c r="S66" s="90">
        <v>3.4508E-3</v>
      </c>
      <c r="T66" s="90">
        <v>7.1896E-3</v>
      </c>
    </row>
    <row r="67" spans="1:29" ht="12.75" x14ac:dyDescent="0.2">
      <c r="A67" s="4" t="s">
        <v>95</v>
      </c>
      <c r="C67" s="88">
        <v>1694026.41</v>
      </c>
      <c r="D67" s="88">
        <v>908226.42</v>
      </c>
      <c r="E67" s="88">
        <v>2952471.3</v>
      </c>
      <c r="F67" s="88">
        <v>1813018.97</v>
      </c>
      <c r="G67" s="88">
        <v>953945.93</v>
      </c>
      <c r="H67" s="88">
        <v>3156083.17</v>
      </c>
      <c r="M67" s="4" t="s">
        <v>95</v>
      </c>
      <c r="O67" s="90">
        <v>1.36378E-2</v>
      </c>
      <c r="P67" s="90">
        <v>7.3117E-3</v>
      </c>
      <c r="Q67" s="90">
        <v>2.3768899999999999E-2</v>
      </c>
      <c r="R67" s="90">
        <v>1.4181600000000001E-2</v>
      </c>
      <c r="S67" s="90">
        <v>7.4618999999999996E-3</v>
      </c>
      <c r="T67" s="90">
        <v>2.4687299999999999E-2</v>
      </c>
    </row>
    <row r="68" spans="1:29" ht="12.75" x14ac:dyDescent="0.2">
      <c r="A68" s="4" t="s">
        <v>98</v>
      </c>
      <c r="C68" s="88">
        <v>7894.92</v>
      </c>
      <c r="D68" s="88">
        <v>4068.39</v>
      </c>
      <c r="E68" s="88">
        <v>13406</v>
      </c>
      <c r="F68" s="88">
        <v>8386.2800000000007</v>
      </c>
      <c r="G68" s="88">
        <v>4326.5</v>
      </c>
      <c r="H68" s="88">
        <v>14535.62</v>
      </c>
      <c r="M68" s="4" t="s">
        <v>98</v>
      </c>
      <c r="O68" s="90">
        <v>6.3600000000000001E-5</v>
      </c>
      <c r="P68" s="90">
        <v>3.2799999999999998E-5</v>
      </c>
      <c r="Q68" s="90">
        <v>1.0789999999999999E-4</v>
      </c>
      <c r="R68" s="90">
        <v>6.5599999999999995E-5</v>
      </c>
      <c r="S68" s="90">
        <v>3.3800000000000002E-5</v>
      </c>
      <c r="T68" s="90">
        <v>1.137E-4</v>
      </c>
    </row>
    <row r="69" spans="1:29" ht="12.75" x14ac:dyDescent="0.2">
      <c r="A69" s="4" t="s">
        <v>103</v>
      </c>
      <c r="C69" s="88">
        <f t="shared" ref="C69:H69" si="27">SUM(C56:C68)</f>
        <v>16616875.16</v>
      </c>
      <c r="D69" s="88">
        <f t="shared" si="27"/>
        <v>8435627.2800000012</v>
      </c>
      <c r="E69" s="88">
        <f t="shared" si="27"/>
        <v>27822453.73</v>
      </c>
      <c r="F69" s="88">
        <f t="shared" si="27"/>
        <v>25644117.440000001</v>
      </c>
      <c r="G69" s="88">
        <f t="shared" si="27"/>
        <v>12602969.82</v>
      </c>
      <c r="H69" s="88">
        <f t="shared" si="27"/>
        <v>44396260.93999999</v>
      </c>
      <c r="M69" s="4" t="s">
        <v>103</v>
      </c>
      <c r="O69" s="90">
        <f t="shared" ref="O69:T69" si="28">SUM(O56:O68)</f>
        <v>0.13377420000000001</v>
      </c>
      <c r="P69" s="92">
        <f t="shared" si="28"/>
        <v>6.7911100000000002E-2</v>
      </c>
      <c r="Q69" s="90">
        <f t="shared" si="28"/>
        <v>0.22398480000000001</v>
      </c>
      <c r="R69" s="197">
        <f t="shared" si="28"/>
        <v>0.20059149999999998</v>
      </c>
      <c r="S69" s="92">
        <f t="shared" si="28"/>
        <v>9.8581999999999989E-2</v>
      </c>
      <c r="T69" s="90">
        <f t="shared" si="28"/>
        <v>0.34727270000000005</v>
      </c>
    </row>
    <row r="71" spans="1:29" ht="63.75" x14ac:dyDescent="0.2">
      <c r="A71" s="26" t="s">
        <v>354</v>
      </c>
      <c r="B71" s="27"/>
      <c r="C71" s="26" t="s">
        <v>346</v>
      </c>
      <c r="D71" s="26" t="s">
        <v>347</v>
      </c>
      <c r="E71" s="26" t="s">
        <v>348</v>
      </c>
      <c r="F71" s="26" t="s">
        <v>349</v>
      </c>
      <c r="G71" s="26" t="s">
        <v>350</v>
      </c>
      <c r="H71" s="26" t="s">
        <v>351</v>
      </c>
      <c r="I71" s="26" t="s">
        <v>355</v>
      </c>
      <c r="J71" s="26" t="s">
        <v>356</v>
      </c>
      <c r="K71" s="26" t="s">
        <v>357</v>
      </c>
      <c r="L71" s="40"/>
      <c r="M71" s="26" t="s">
        <v>358</v>
      </c>
      <c r="N71" s="27"/>
      <c r="O71" s="26" t="s">
        <v>346</v>
      </c>
      <c r="P71" s="26" t="s">
        <v>347</v>
      </c>
      <c r="Q71" s="26" t="s">
        <v>348</v>
      </c>
      <c r="R71" s="26" t="s">
        <v>349</v>
      </c>
      <c r="S71" s="26" t="s">
        <v>350</v>
      </c>
      <c r="T71" s="26" t="s">
        <v>351</v>
      </c>
      <c r="U71" s="26"/>
      <c r="V71" s="26"/>
      <c r="W71" s="26"/>
      <c r="X71" s="83"/>
      <c r="Y71" s="83"/>
      <c r="Z71" s="83"/>
      <c r="AA71" s="83"/>
      <c r="AB71" s="83"/>
      <c r="AC71" s="83"/>
    </row>
    <row r="72" spans="1:29" ht="12.75" x14ac:dyDescent="0.2">
      <c r="A72" s="4" t="s">
        <v>40</v>
      </c>
      <c r="C72" s="88">
        <v>22625.78</v>
      </c>
      <c r="D72" s="88">
        <v>13484.36</v>
      </c>
      <c r="E72" s="88">
        <v>34658.01</v>
      </c>
      <c r="F72" s="88">
        <v>30940.58</v>
      </c>
      <c r="G72" s="88">
        <v>18366.95</v>
      </c>
      <c r="H72" s="88">
        <v>47388.93</v>
      </c>
      <c r="M72" s="4" t="s">
        <v>40</v>
      </c>
      <c r="O72" s="90">
        <v>1.8210000000000001E-4</v>
      </c>
      <c r="P72" s="4">
        <v>1.086E-4</v>
      </c>
      <c r="Q72" s="90">
        <v>2.7900000000000001E-4</v>
      </c>
      <c r="R72" s="90">
        <v>2.42E-4</v>
      </c>
      <c r="S72" s="4">
        <v>1.437E-4</v>
      </c>
      <c r="T72" s="90">
        <v>3.7070000000000001E-4</v>
      </c>
    </row>
    <row r="73" spans="1:29" ht="12.75" x14ac:dyDescent="0.2">
      <c r="A73" s="4" t="s">
        <v>42</v>
      </c>
      <c r="C73" s="4"/>
      <c r="D73" s="4"/>
      <c r="E73" s="4"/>
      <c r="F73" s="4"/>
      <c r="G73" s="4"/>
      <c r="H73" s="4"/>
      <c r="M73" s="4" t="s">
        <v>42</v>
      </c>
      <c r="O73" s="198">
        <v>8.7000000000000001E-9</v>
      </c>
      <c r="P73" s="199">
        <v>3.7E-9</v>
      </c>
      <c r="Q73" s="199">
        <v>1.7E-8</v>
      </c>
      <c r="R73" s="90">
        <v>0</v>
      </c>
      <c r="S73" s="90">
        <v>0</v>
      </c>
      <c r="T73" s="90">
        <v>0</v>
      </c>
    </row>
    <row r="74" spans="1:29" ht="12.75" x14ac:dyDescent="0.2">
      <c r="A74" s="4" t="s">
        <v>44</v>
      </c>
      <c r="C74" s="88"/>
      <c r="D74" s="88"/>
      <c r="E74" s="88"/>
      <c r="F74" s="88"/>
      <c r="G74" s="88"/>
      <c r="H74" s="88"/>
      <c r="M74" s="4" t="s">
        <v>44</v>
      </c>
      <c r="O74" s="90">
        <v>4.4000000000000002E-6</v>
      </c>
      <c r="P74" s="90">
        <v>3.0000000000000001E-6</v>
      </c>
      <c r="Q74" s="90">
        <v>6.2999999999999998E-6</v>
      </c>
      <c r="R74" s="90">
        <v>0</v>
      </c>
      <c r="S74" s="90">
        <v>0</v>
      </c>
      <c r="T74" s="90">
        <v>0</v>
      </c>
    </row>
    <row r="75" spans="1:29" ht="12.75" x14ac:dyDescent="0.2">
      <c r="A75" s="4" t="s">
        <v>48</v>
      </c>
      <c r="C75" s="88"/>
      <c r="D75" s="88"/>
      <c r="E75" s="88"/>
      <c r="F75" s="88"/>
      <c r="G75" s="88"/>
      <c r="H75" s="88"/>
      <c r="M75" s="4" t="s">
        <v>48</v>
      </c>
      <c r="O75" s="90">
        <v>3.0599999999999998E-5</v>
      </c>
      <c r="P75" s="90">
        <v>1.1E-5</v>
      </c>
      <c r="Q75" s="90">
        <v>6.8200000000000004E-5</v>
      </c>
      <c r="R75" s="90">
        <v>0</v>
      </c>
      <c r="S75" s="90">
        <v>0</v>
      </c>
      <c r="T75" s="90">
        <v>0</v>
      </c>
    </row>
    <row r="76" spans="1:29" ht="12.75" x14ac:dyDescent="0.2">
      <c r="A76" s="4" t="s">
        <v>52</v>
      </c>
      <c r="C76" s="88"/>
      <c r="D76" s="88"/>
      <c r="E76" s="88"/>
      <c r="F76" s="88"/>
      <c r="G76" s="88"/>
      <c r="H76" s="88"/>
      <c r="M76" s="4" t="s">
        <v>52</v>
      </c>
      <c r="O76" s="90">
        <v>8.6700000000000007E-5</v>
      </c>
      <c r="P76" s="90">
        <v>-5.5999999999999997E-6</v>
      </c>
      <c r="Q76" s="90">
        <v>5.2280000000000002E-4</v>
      </c>
      <c r="R76" s="90">
        <v>0</v>
      </c>
      <c r="S76" s="90">
        <v>0</v>
      </c>
      <c r="T76" s="90">
        <v>0</v>
      </c>
    </row>
    <row r="77" spans="1:29" ht="12.75" x14ac:dyDescent="0.2">
      <c r="A77" s="4" t="s">
        <v>55</v>
      </c>
      <c r="C77" s="108"/>
      <c r="D77" s="108"/>
      <c r="E77" s="108"/>
      <c r="F77" s="88"/>
      <c r="G77" s="4"/>
      <c r="H77" s="88"/>
      <c r="M77" s="4" t="s">
        <v>55</v>
      </c>
      <c r="O77" s="90">
        <v>5.41E-5</v>
      </c>
      <c r="P77" s="90">
        <v>3.6999999999999998E-5</v>
      </c>
      <c r="Q77" s="90">
        <v>7.4400000000000006E-5</v>
      </c>
      <c r="R77" s="90">
        <v>0</v>
      </c>
      <c r="S77" s="90">
        <v>0</v>
      </c>
      <c r="T77" s="90">
        <v>0</v>
      </c>
    </row>
    <row r="78" spans="1:29" ht="12.75" x14ac:dyDescent="0.2">
      <c r="A78" s="4" t="s">
        <v>62</v>
      </c>
      <c r="C78" s="4"/>
      <c r="D78" s="4"/>
      <c r="E78" s="4"/>
      <c r="F78" s="4"/>
      <c r="G78" s="4"/>
      <c r="H78" s="4"/>
      <c r="M78" s="4" t="s">
        <v>62</v>
      </c>
      <c r="O78" s="90">
        <v>3.1999999999999999E-6</v>
      </c>
      <c r="P78" s="90">
        <v>1.9999999999999999E-6</v>
      </c>
      <c r="Q78" s="90">
        <v>5.0000000000000004E-6</v>
      </c>
      <c r="R78" s="90">
        <v>0</v>
      </c>
      <c r="S78" s="90">
        <v>0</v>
      </c>
      <c r="T78" s="90">
        <v>0</v>
      </c>
    </row>
    <row r="79" spans="1:29" ht="12.75" x14ac:dyDescent="0.2">
      <c r="A79" s="4" t="s">
        <v>70</v>
      </c>
      <c r="C79" s="4"/>
      <c r="D79" s="4"/>
      <c r="E79" s="4"/>
      <c r="F79" s="4"/>
      <c r="G79" s="4"/>
      <c r="H79" s="4"/>
      <c r="M79" s="4" t="s">
        <v>70</v>
      </c>
      <c r="O79" s="90">
        <v>0</v>
      </c>
      <c r="P79" s="90">
        <v>0</v>
      </c>
      <c r="Q79" s="90">
        <v>0</v>
      </c>
      <c r="R79" s="90">
        <v>0</v>
      </c>
      <c r="S79" s="90">
        <v>0</v>
      </c>
      <c r="T79" s="90">
        <v>0</v>
      </c>
    </row>
    <row r="80" spans="1:29" ht="12.75" x14ac:dyDescent="0.2">
      <c r="A80" s="4" t="s">
        <v>88</v>
      </c>
      <c r="C80" s="88"/>
      <c r="D80" s="88"/>
      <c r="E80" s="88"/>
      <c r="F80" s="88"/>
      <c r="G80" s="88"/>
      <c r="H80" s="88"/>
      <c r="M80" s="4" t="s">
        <v>88</v>
      </c>
      <c r="O80" s="90">
        <v>9.0740000000000005E-4</v>
      </c>
      <c r="P80" s="90">
        <v>4.7530000000000001E-4</v>
      </c>
      <c r="Q80" s="90">
        <v>1.5754E-3</v>
      </c>
      <c r="R80" s="90">
        <v>0</v>
      </c>
      <c r="S80" s="90">
        <v>0</v>
      </c>
      <c r="T80" s="90">
        <v>0</v>
      </c>
    </row>
    <row r="81" spans="1:20" ht="12.75" x14ac:dyDescent="0.2">
      <c r="A81" s="4" t="s">
        <v>91</v>
      </c>
      <c r="C81" s="88"/>
      <c r="D81" s="88"/>
      <c r="E81" s="88"/>
      <c r="F81" s="88"/>
      <c r="G81" s="88"/>
      <c r="H81" s="88"/>
      <c r="M81" s="4" t="s">
        <v>91</v>
      </c>
      <c r="O81" s="90">
        <v>3.3750000000000002E-4</v>
      </c>
      <c r="P81" s="90">
        <v>1.7699999999999999E-4</v>
      </c>
      <c r="Q81" s="90">
        <v>5.2280000000000002E-4</v>
      </c>
      <c r="R81" s="90">
        <v>0</v>
      </c>
      <c r="S81" s="90">
        <v>0</v>
      </c>
      <c r="T81" s="90">
        <v>0</v>
      </c>
    </row>
    <row r="82" spans="1:20" ht="12.75" x14ac:dyDescent="0.2">
      <c r="A82" s="4" t="s">
        <v>93</v>
      </c>
      <c r="C82" s="108"/>
      <c r="D82" s="108"/>
      <c r="E82" s="108"/>
      <c r="F82" s="88"/>
      <c r="G82" s="88"/>
      <c r="H82" s="88"/>
      <c r="M82" s="4" t="s">
        <v>93</v>
      </c>
      <c r="O82" s="90">
        <v>7.9699999999999999E-5</v>
      </c>
      <c r="P82" s="90">
        <v>5.52E-5</v>
      </c>
      <c r="Q82" s="90">
        <v>1.099E-4</v>
      </c>
      <c r="R82" s="90">
        <v>0</v>
      </c>
      <c r="S82" s="90">
        <v>0</v>
      </c>
      <c r="T82" s="90">
        <v>0</v>
      </c>
    </row>
    <row r="83" spans="1:20" ht="12.75" x14ac:dyDescent="0.2">
      <c r="A83" s="4" t="s">
        <v>95</v>
      </c>
      <c r="C83" s="88"/>
      <c r="D83" s="88"/>
      <c r="E83" s="88"/>
      <c r="F83" s="88"/>
      <c r="G83" s="88"/>
      <c r="H83" s="88"/>
      <c r="M83" s="4" t="s">
        <v>95</v>
      </c>
      <c r="O83" s="90">
        <v>1.7149999999999999E-4</v>
      </c>
      <c r="P83" s="90">
        <v>1.148E-4</v>
      </c>
      <c r="Q83" s="90">
        <v>2.4570000000000001E-4</v>
      </c>
      <c r="R83" s="90">
        <v>0</v>
      </c>
      <c r="S83" s="90">
        <v>0</v>
      </c>
      <c r="T83" s="90">
        <v>0</v>
      </c>
    </row>
    <row r="84" spans="1:20" ht="12.75" x14ac:dyDescent="0.2">
      <c r="A84" s="4" t="s">
        <v>98</v>
      </c>
      <c r="C84" s="4"/>
      <c r="D84" s="4"/>
      <c r="E84" s="4"/>
      <c r="F84" s="4"/>
      <c r="G84" s="4"/>
      <c r="H84" s="4"/>
      <c r="M84" s="4" t="s">
        <v>98</v>
      </c>
      <c r="O84" s="90">
        <v>6.3600000000000001E-5</v>
      </c>
      <c r="P84" s="90">
        <v>3.2799999999999998E-5</v>
      </c>
      <c r="Q84" s="90">
        <v>1.076E-4</v>
      </c>
      <c r="R84" s="90">
        <v>0</v>
      </c>
      <c r="S84" s="90">
        <v>0</v>
      </c>
      <c r="T84" s="90">
        <v>0</v>
      </c>
    </row>
    <row r="85" spans="1:20" ht="12.75" x14ac:dyDescent="0.2">
      <c r="A85" s="4" t="s">
        <v>103</v>
      </c>
      <c r="C85" s="88">
        <f t="shared" ref="C85:H85" si="29">SUM(C72:C84)</f>
        <v>22625.78</v>
      </c>
      <c r="D85" s="88">
        <f t="shared" si="29"/>
        <v>13484.36</v>
      </c>
      <c r="E85" s="88">
        <f t="shared" si="29"/>
        <v>34658.01</v>
      </c>
      <c r="F85" s="88">
        <f t="shared" si="29"/>
        <v>30940.58</v>
      </c>
      <c r="G85" s="88">
        <f t="shared" si="29"/>
        <v>18366.95</v>
      </c>
      <c r="H85" s="88">
        <f t="shared" si="29"/>
        <v>47388.93</v>
      </c>
      <c r="M85" s="4" t="s">
        <v>103</v>
      </c>
      <c r="O85" s="90">
        <f t="shared" ref="O85:T85" si="30">SUM(O72:O84)</f>
        <v>1.9208087000000002E-3</v>
      </c>
      <c r="P85" s="92">
        <f t="shared" si="30"/>
        <v>1.0111037E-3</v>
      </c>
      <c r="Q85" s="90">
        <f t="shared" si="30"/>
        <v>3.5171170000000002E-3</v>
      </c>
      <c r="R85" s="90">
        <f t="shared" si="30"/>
        <v>2.42E-4</v>
      </c>
      <c r="S85" s="92">
        <f t="shared" si="30"/>
        <v>1.437E-4</v>
      </c>
      <c r="T85" s="90">
        <f t="shared" si="30"/>
        <v>3.7070000000000001E-4</v>
      </c>
    </row>
    <row r="88" spans="1:20" ht="25.5" x14ac:dyDescent="0.2">
      <c r="A88" s="26" t="s">
        <v>359</v>
      </c>
      <c r="B88" s="27"/>
      <c r="C88" s="26" t="s">
        <v>346</v>
      </c>
      <c r="D88" s="26" t="s">
        <v>347</v>
      </c>
      <c r="E88" s="26" t="s">
        <v>348</v>
      </c>
      <c r="F88" s="26"/>
      <c r="G88" s="26"/>
    </row>
    <row r="89" spans="1:20" ht="12.75" x14ac:dyDescent="0.2">
      <c r="A89" s="92" t="s">
        <v>40</v>
      </c>
      <c r="C89" s="88">
        <v>7801.41</v>
      </c>
      <c r="D89" s="4">
        <v>19.66</v>
      </c>
      <c r="E89" s="88">
        <v>36356.39</v>
      </c>
      <c r="F89" s="4"/>
      <c r="G89" s="4"/>
    </row>
    <row r="90" spans="1:20" ht="12.75" x14ac:dyDescent="0.2">
      <c r="A90" s="92" t="s">
        <v>42</v>
      </c>
      <c r="C90" s="4">
        <v>140.47</v>
      </c>
      <c r="D90" s="4">
        <v>103.6</v>
      </c>
      <c r="E90" s="4">
        <v>193.4</v>
      </c>
      <c r="F90" s="4"/>
      <c r="G90" s="4"/>
    </row>
    <row r="91" spans="1:20" ht="12.75" x14ac:dyDescent="0.2">
      <c r="A91" s="92" t="s">
        <v>44</v>
      </c>
      <c r="C91" s="88">
        <v>20799.05</v>
      </c>
      <c r="D91" s="88">
        <v>15055.12</v>
      </c>
      <c r="E91" s="88">
        <v>35593.360000000001</v>
      </c>
      <c r="F91" s="88"/>
      <c r="G91" s="88"/>
    </row>
    <row r="92" spans="1:20" ht="12.75" x14ac:dyDescent="0.2">
      <c r="A92" s="92" t="s">
        <v>48</v>
      </c>
      <c r="C92" s="88">
        <v>17925.32</v>
      </c>
      <c r="D92" s="88">
        <v>6484.24</v>
      </c>
      <c r="E92" s="88">
        <v>39027.07</v>
      </c>
      <c r="F92" s="88"/>
      <c r="G92" s="88"/>
    </row>
    <row r="93" spans="1:20" ht="12.75" x14ac:dyDescent="0.2">
      <c r="A93" s="92" t="s">
        <v>52</v>
      </c>
      <c r="C93" s="88">
        <v>20987.11</v>
      </c>
      <c r="D93" s="88">
        <v>-1164.25</v>
      </c>
      <c r="E93" s="88">
        <v>39659.82</v>
      </c>
      <c r="F93" s="88"/>
      <c r="G93" s="88"/>
    </row>
    <row r="94" spans="1:20" ht="12.75" x14ac:dyDescent="0.2">
      <c r="A94" s="92" t="s">
        <v>55</v>
      </c>
      <c r="C94" s="88">
        <v>24941.53</v>
      </c>
      <c r="D94" s="88">
        <v>20357.03</v>
      </c>
      <c r="E94" s="88">
        <v>32081.360000000001</v>
      </c>
      <c r="F94" s="88"/>
      <c r="G94" s="88"/>
    </row>
    <row r="95" spans="1:20" ht="12.75" x14ac:dyDescent="0.2">
      <c r="A95" s="92" t="s">
        <v>62</v>
      </c>
      <c r="C95" s="88">
        <v>24429.74</v>
      </c>
      <c r="D95" s="88">
        <v>20045.189999999999</v>
      </c>
      <c r="E95" s="88">
        <v>28891.52</v>
      </c>
      <c r="F95" s="88"/>
      <c r="G95" s="88"/>
    </row>
    <row r="96" spans="1:20" ht="12.75" x14ac:dyDescent="0.2">
      <c r="A96" s="92" t="s">
        <v>70</v>
      </c>
      <c r="C96" s="4">
        <v>0</v>
      </c>
    </row>
    <row r="97" spans="1:29" ht="12.75" x14ac:dyDescent="0.2">
      <c r="A97" s="92" t="s">
        <v>88</v>
      </c>
      <c r="C97" s="88">
        <v>37105.69</v>
      </c>
      <c r="D97" s="88">
        <v>26077.38</v>
      </c>
      <c r="E97" s="88">
        <v>52425.440000000002</v>
      </c>
      <c r="F97" s="88"/>
      <c r="G97" s="88"/>
    </row>
    <row r="98" spans="1:29" ht="12.75" x14ac:dyDescent="0.2">
      <c r="A98" s="92" t="s">
        <v>91</v>
      </c>
      <c r="C98" s="88">
        <v>323779.76</v>
      </c>
      <c r="D98" s="88">
        <v>194762.34</v>
      </c>
      <c r="E98" s="88">
        <v>446168.15</v>
      </c>
      <c r="F98" s="88"/>
      <c r="G98" s="88"/>
    </row>
    <row r="99" spans="1:29" ht="12.75" x14ac:dyDescent="0.2">
      <c r="A99" s="92" t="s">
        <v>93</v>
      </c>
      <c r="C99" s="88">
        <v>32189.39</v>
      </c>
      <c r="D99" s="88">
        <v>26722.29</v>
      </c>
      <c r="E99" s="88">
        <v>41828.28</v>
      </c>
      <c r="F99" s="88"/>
      <c r="G99" s="88"/>
    </row>
    <row r="100" spans="1:29" ht="12.75" x14ac:dyDescent="0.2">
      <c r="A100" s="92" t="s">
        <v>95</v>
      </c>
      <c r="C100" s="88">
        <v>81286.39</v>
      </c>
      <c r="D100" s="88">
        <v>45329.77</v>
      </c>
      <c r="E100" s="88">
        <v>133274.18</v>
      </c>
      <c r="F100" s="88"/>
      <c r="G100" s="88"/>
    </row>
    <row r="101" spans="1:29" ht="12.75" x14ac:dyDescent="0.2">
      <c r="A101" s="92" t="s">
        <v>98</v>
      </c>
      <c r="C101" s="4">
        <v>0</v>
      </c>
      <c r="D101" s="4">
        <v>0</v>
      </c>
      <c r="E101" s="4">
        <v>0</v>
      </c>
      <c r="F101" s="4"/>
      <c r="G101" s="4"/>
    </row>
    <row r="102" spans="1:29" ht="12.75" x14ac:dyDescent="0.2">
      <c r="A102" s="92" t="s">
        <v>100</v>
      </c>
      <c r="C102" s="88">
        <f t="shared" ref="C102:E102" si="31">AVERAGE(C89:C101)</f>
        <v>45491.22</v>
      </c>
      <c r="D102" s="142">
        <f t="shared" si="31"/>
        <v>29482.697499999998</v>
      </c>
      <c r="E102" s="88">
        <f t="shared" si="31"/>
        <v>73791.580833333326</v>
      </c>
      <c r="F102" s="142"/>
      <c r="G102" s="142"/>
    </row>
    <row r="103" spans="1:29" ht="12.75" x14ac:dyDescent="0.2">
      <c r="A103" s="92" t="s">
        <v>103</v>
      </c>
      <c r="C103" s="87">
        <f t="shared" ref="C103:E103" si="32">SUM(C89:C101)</f>
        <v>591385.86</v>
      </c>
      <c r="D103">
        <f t="shared" si="32"/>
        <v>353792.37</v>
      </c>
      <c r="E103" s="87">
        <f t="shared" si="32"/>
        <v>885498.97</v>
      </c>
    </row>
    <row r="106" spans="1:29" ht="51" x14ac:dyDescent="0.2">
      <c r="A106" s="26" t="s">
        <v>360</v>
      </c>
      <c r="B106" s="27"/>
      <c r="C106" s="26" t="s">
        <v>346</v>
      </c>
      <c r="D106" s="26" t="s">
        <v>347</v>
      </c>
      <c r="E106" s="26" t="s">
        <v>348</v>
      </c>
      <c r="F106" s="26"/>
      <c r="G106" s="26"/>
      <c r="H106" s="83"/>
      <c r="I106" s="40"/>
      <c r="J106" s="40"/>
      <c r="K106" s="40"/>
      <c r="L106" s="40"/>
      <c r="M106" s="26" t="s">
        <v>361</v>
      </c>
      <c r="N106" s="83"/>
      <c r="O106" s="26" t="s">
        <v>346</v>
      </c>
      <c r="P106" s="26" t="s">
        <v>347</v>
      </c>
      <c r="Q106" s="26" t="s">
        <v>348</v>
      </c>
      <c r="R106" s="83"/>
      <c r="S106" s="83"/>
      <c r="T106" s="83"/>
      <c r="U106" s="83"/>
      <c r="V106" s="83"/>
      <c r="W106" s="83"/>
      <c r="X106" s="83"/>
      <c r="Y106" s="83"/>
      <c r="Z106" s="83"/>
      <c r="AA106" s="83"/>
      <c r="AB106" s="83"/>
      <c r="AC106" s="83"/>
    </row>
    <row r="107" spans="1:29" ht="12.75" x14ac:dyDescent="0.2">
      <c r="A107" s="92" t="s">
        <v>40</v>
      </c>
      <c r="C107" s="33">
        <v>611571.49</v>
      </c>
      <c r="D107" s="4"/>
      <c r="E107" s="88"/>
      <c r="F107" s="4"/>
      <c r="G107" s="4"/>
      <c r="M107" s="92" t="s">
        <v>40</v>
      </c>
      <c r="O107" s="32">
        <f>0.0049235</f>
        <v>4.9234999999999999E-3</v>
      </c>
    </row>
    <row r="108" spans="1:29" ht="12.75" x14ac:dyDescent="0.2">
      <c r="A108" s="92" t="s">
        <v>42</v>
      </c>
      <c r="C108" s="33">
        <v>5480.54</v>
      </c>
      <c r="D108" s="4"/>
      <c r="E108" s="4"/>
      <c r="F108" s="4"/>
      <c r="G108" s="4"/>
      <c r="M108" s="92" t="s">
        <v>42</v>
      </c>
      <c r="O108" s="32">
        <v>4.4100000000000001E-5</v>
      </c>
    </row>
    <row r="109" spans="1:29" ht="12.75" x14ac:dyDescent="0.2">
      <c r="A109" s="92" t="s">
        <v>44</v>
      </c>
      <c r="C109" s="33">
        <v>724458.74</v>
      </c>
      <c r="D109" s="88"/>
      <c r="E109" s="88"/>
      <c r="F109" s="88"/>
      <c r="G109" s="88"/>
      <c r="M109" s="92" t="s">
        <v>44</v>
      </c>
      <c r="O109" s="32">
        <v>5.8323000000000003E-3</v>
      </c>
    </row>
    <row r="110" spans="1:29" ht="12.75" x14ac:dyDescent="0.2">
      <c r="A110" s="92" t="s">
        <v>48</v>
      </c>
      <c r="C110" s="33">
        <v>1299049.56</v>
      </c>
      <c r="D110" s="88"/>
      <c r="E110" s="88"/>
      <c r="F110" s="88"/>
      <c r="G110" s="88"/>
      <c r="M110" s="92" t="s">
        <v>48</v>
      </c>
      <c r="O110" s="32">
        <v>1.0458E-2</v>
      </c>
    </row>
    <row r="111" spans="1:29" ht="12.75" x14ac:dyDescent="0.2">
      <c r="A111" s="92" t="s">
        <v>52</v>
      </c>
      <c r="C111" s="33">
        <v>1794169.26</v>
      </c>
      <c r="D111" s="88"/>
      <c r="E111" s="88"/>
      <c r="F111" s="88"/>
      <c r="G111" s="88"/>
      <c r="M111" s="92" t="s">
        <v>52</v>
      </c>
      <c r="O111" s="32">
        <v>1.4444E-2</v>
      </c>
    </row>
    <row r="112" spans="1:29" ht="12.75" x14ac:dyDescent="0.2">
      <c r="A112" s="92" t="s">
        <v>55</v>
      </c>
      <c r="C112" s="33">
        <v>854477.97</v>
      </c>
      <c r="D112" s="88"/>
      <c r="E112" s="88"/>
      <c r="F112" s="88"/>
      <c r="G112" s="88"/>
      <c r="M112" s="92" t="s">
        <v>55</v>
      </c>
      <c r="O112" s="32">
        <v>6.8789999999999997E-3</v>
      </c>
    </row>
    <row r="113" spans="1:18" ht="12.75" x14ac:dyDescent="0.2">
      <c r="A113" s="92" t="s">
        <v>62</v>
      </c>
      <c r="C113" s="33">
        <v>27695.7</v>
      </c>
      <c r="D113" s="88"/>
      <c r="E113" s="88"/>
      <c r="F113" s="88"/>
      <c r="G113" s="88"/>
      <c r="M113" s="92" t="s">
        <v>62</v>
      </c>
      <c r="O113" s="32">
        <v>2.23E-4</v>
      </c>
    </row>
    <row r="114" spans="1:18" ht="12.75" x14ac:dyDescent="0.2">
      <c r="A114" s="92" t="s">
        <v>70</v>
      </c>
      <c r="C114" s="34"/>
      <c r="M114" s="92" t="s">
        <v>70</v>
      </c>
      <c r="O114" s="34"/>
    </row>
    <row r="115" spans="1:18" ht="12.75" x14ac:dyDescent="0.2">
      <c r="A115" s="92" t="s">
        <v>88</v>
      </c>
      <c r="C115" s="33">
        <v>1827384.73</v>
      </c>
      <c r="D115" s="88"/>
      <c r="E115" s="88"/>
      <c r="F115" s="88"/>
      <c r="G115" s="88"/>
      <c r="M115" s="92" t="s">
        <v>88</v>
      </c>
      <c r="O115" s="35">
        <v>1.4711399999999999E-2</v>
      </c>
    </row>
    <row r="116" spans="1:18" ht="12.75" x14ac:dyDescent="0.2">
      <c r="A116" s="92" t="s">
        <v>91</v>
      </c>
      <c r="C116" s="33">
        <v>7049288.9699999997</v>
      </c>
      <c r="D116" s="88"/>
      <c r="E116" s="88"/>
      <c r="F116" s="88"/>
      <c r="G116" s="88"/>
      <c r="M116" s="92" t="s">
        <v>91</v>
      </c>
      <c r="O116" s="35">
        <v>5.6750299999999997E-2</v>
      </c>
    </row>
    <row r="117" spans="1:18" ht="12.75" x14ac:dyDescent="0.2">
      <c r="A117" s="92" t="s">
        <v>93</v>
      </c>
      <c r="C117" s="33">
        <v>512845.14</v>
      </c>
      <c r="D117" s="88"/>
      <c r="E117" s="88"/>
      <c r="F117" s="88"/>
      <c r="G117" s="88"/>
      <c r="M117" s="92" t="s">
        <v>93</v>
      </c>
      <c r="O117" s="35">
        <v>4.1286999999999999E-3</v>
      </c>
    </row>
    <row r="118" spans="1:18" ht="12.75" x14ac:dyDescent="0.2">
      <c r="A118" s="92" t="s">
        <v>95</v>
      </c>
      <c r="C118" s="33">
        <v>1672717.79</v>
      </c>
      <c r="D118" s="88"/>
      <c r="E118" s="88"/>
      <c r="F118" s="88"/>
      <c r="G118" s="88"/>
      <c r="M118" s="92" t="s">
        <v>95</v>
      </c>
      <c r="O118" s="35">
        <v>1.3466199999999999E-2</v>
      </c>
    </row>
    <row r="119" spans="1:18" ht="12.75" x14ac:dyDescent="0.2">
      <c r="A119" s="92" t="s">
        <v>98</v>
      </c>
      <c r="C119" s="35">
        <v>0</v>
      </c>
      <c r="D119" s="4"/>
      <c r="E119" s="4"/>
      <c r="F119" s="4"/>
      <c r="G119" s="4"/>
      <c r="M119" s="92" t="s">
        <v>98</v>
      </c>
      <c r="O119" s="35">
        <v>0</v>
      </c>
    </row>
    <row r="120" spans="1:18" ht="12.75" x14ac:dyDescent="0.2">
      <c r="A120" s="92" t="s">
        <v>100</v>
      </c>
      <c r="C120" s="88">
        <f>AVERAGE(C107:C119)</f>
        <v>1364928.3241666667</v>
      </c>
      <c r="D120" s="142"/>
      <c r="E120" s="92"/>
      <c r="F120" s="142"/>
      <c r="G120" s="142"/>
      <c r="L120" s="92"/>
      <c r="M120" s="92" t="s">
        <v>100</v>
      </c>
      <c r="N120" s="92"/>
      <c r="O120" s="92"/>
      <c r="P120" s="87"/>
      <c r="Q120" s="87"/>
      <c r="R120" s="87"/>
    </row>
    <row r="121" spans="1:18" ht="12.75" x14ac:dyDescent="0.2">
      <c r="A121" s="92" t="s">
        <v>103</v>
      </c>
      <c r="C121" s="87">
        <f>SUM(C107:C119)</f>
        <v>16379139.890000001</v>
      </c>
      <c r="M121" s="92" t="s">
        <v>103</v>
      </c>
    </row>
  </sheetData>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01"/>
  <sheetViews>
    <sheetView workbookViewId="0">
      <pane xSplit="4" ySplit="2" topLeftCell="E3" activePane="bottomRight" state="frozen"/>
      <selection pane="topRight" activeCell="E1" sqref="E1"/>
      <selection pane="bottomLeft" activeCell="A3" sqref="A3"/>
      <selection pane="bottomRight" activeCell="E3" sqref="E3"/>
    </sheetView>
  </sheetViews>
  <sheetFormatPr defaultColWidth="14.42578125" defaultRowHeight="15.75" customHeight="1" x14ac:dyDescent="0.2"/>
  <cols>
    <col min="3" max="3" width="14.42578125" customWidth="1"/>
    <col min="4" max="4" width="14.42578125" hidden="1" customWidth="1"/>
    <col min="5" max="6" width="14.42578125" customWidth="1"/>
    <col min="7" max="7" width="11.85546875" customWidth="1"/>
    <col min="8" max="8" width="29.28515625" customWidth="1"/>
    <col min="11" max="11" width="16.42578125" customWidth="1"/>
  </cols>
  <sheetData>
    <row r="1" spans="1:30" ht="15.75" customHeight="1" x14ac:dyDescent="0.2">
      <c r="H1" s="200"/>
      <c r="K1" s="200"/>
      <c r="N1" s="200"/>
    </row>
    <row r="2" spans="1:30" ht="15.75" customHeight="1" x14ac:dyDescent="0.2">
      <c r="A2" s="100" t="s">
        <v>362</v>
      </c>
      <c r="B2" s="100" t="s">
        <v>363</v>
      </c>
      <c r="C2" s="100" t="s">
        <v>364</v>
      </c>
      <c r="D2" s="100" t="s">
        <v>365</v>
      </c>
      <c r="E2" s="100" t="s">
        <v>366</v>
      </c>
      <c r="F2" s="100" t="s">
        <v>367</v>
      </c>
      <c r="G2" s="100" t="s">
        <v>368</v>
      </c>
      <c r="H2" s="201" t="s">
        <v>369</v>
      </c>
      <c r="I2" s="201" t="s">
        <v>370</v>
      </c>
      <c r="J2" s="201" t="s">
        <v>371</v>
      </c>
      <c r="K2" s="204" t="s">
        <v>372</v>
      </c>
      <c r="L2" s="204" t="s">
        <v>373</v>
      </c>
      <c r="M2" s="204" t="s">
        <v>374</v>
      </c>
      <c r="N2" s="205" t="s">
        <v>375</v>
      </c>
      <c r="O2" s="205" t="s">
        <v>376</v>
      </c>
      <c r="P2" s="205" t="s">
        <v>377</v>
      </c>
      <c r="Q2" s="100" t="s">
        <v>378</v>
      </c>
      <c r="R2" s="206" t="s">
        <v>379</v>
      </c>
      <c r="S2" s="100" t="s">
        <v>380</v>
      </c>
      <c r="T2" s="206" t="s">
        <v>381</v>
      </c>
      <c r="U2" s="206" t="s">
        <v>382</v>
      </c>
      <c r="V2" s="206" t="s">
        <v>383</v>
      </c>
      <c r="W2" s="206" t="s">
        <v>384</v>
      </c>
      <c r="X2" s="206" t="s">
        <v>385</v>
      </c>
      <c r="Y2" s="1"/>
      <c r="Z2" s="1"/>
      <c r="AA2" s="1"/>
      <c r="AB2" s="1"/>
      <c r="AC2" s="1"/>
      <c r="AD2" s="1"/>
    </row>
    <row r="3" spans="1:30" ht="15.75" customHeight="1" x14ac:dyDescent="0.2">
      <c r="A3" s="207">
        <v>523</v>
      </c>
      <c r="B3" s="208" t="str">
        <f>HYPERLINK("https://www.researchgate.net/publication/283266699_Positive_impact_on_the_expanded_program_on_immunization_when_sending_call-back_SMS_through_a_computerized_immunization_register_Bobo_Dioulasso_Burkina_Faso","Schlumberger et al 2015")</f>
        <v>Schlumberger et al 2015</v>
      </c>
      <c r="C3" s="209" t="s">
        <v>386</v>
      </c>
      <c r="D3" s="210">
        <v>0.55700000000000005</v>
      </c>
      <c r="E3" s="211">
        <v>0.55700000000000005</v>
      </c>
      <c r="F3" s="212">
        <v>0.53600000000000003</v>
      </c>
      <c r="G3" s="212">
        <v>0.42299999999999999</v>
      </c>
      <c r="H3" s="213" t="s">
        <v>387</v>
      </c>
      <c r="I3" s="214">
        <v>0.55700000000000005</v>
      </c>
      <c r="J3" s="214">
        <v>0.73299999999999998</v>
      </c>
      <c r="K3" s="215" t="s">
        <v>388</v>
      </c>
      <c r="L3" s="216">
        <v>0.53600000000000003</v>
      </c>
      <c r="M3" s="216">
        <v>0.71299999999999997</v>
      </c>
      <c r="N3" s="217" t="s">
        <v>388</v>
      </c>
      <c r="O3" s="218">
        <v>0.42299999999999999</v>
      </c>
      <c r="P3" s="218">
        <v>0.60299999999999998</v>
      </c>
      <c r="Q3" s="98">
        <f>(J3-E3)/(1-E3)</f>
        <v>0.39729119638826177</v>
      </c>
      <c r="R3" s="219">
        <f t="shared" ref="R3:R6" si="0">(J3-I3)/(1-I3)</f>
        <v>0.39729119638826177</v>
      </c>
      <c r="S3" s="98">
        <f>(M3-F3)/(1-F3)</f>
        <v>0.38146551724137917</v>
      </c>
      <c r="T3" s="219">
        <f t="shared" ref="T3:T6" si="1">(M3-L3)/(1-L3)</f>
        <v>0.38146551724137917</v>
      </c>
      <c r="U3" s="220">
        <f>(P3-G3)/(1-G3)</f>
        <v>0.31195840554592724</v>
      </c>
      <c r="V3" s="219">
        <f>(P3-O3)/(1-O3)</f>
        <v>0.31195840554592724</v>
      </c>
      <c r="W3" s="220">
        <f t="shared" ref="W3:X3" si="2">U3</f>
        <v>0.31195840554592724</v>
      </c>
      <c r="X3" s="220">
        <f t="shared" si="2"/>
        <v>0.31195840554592724</v>
      </c>
    </row>
    <row r="4" spans="1:30" ht="15.75" customHeight="1" x14ac:dyDescent="0.2">
      <c r="A4" s="207">
        <v>1116</v>
      </c>
      <c r="B4" s="221" t="str">
        <f>HYPERLINK("http://bmcpublichealth.biomedcentral.com/articles/10.1186/s12889-016-2823-5","Haji et al 2016")</f>
        <v>Haji et al 2016</v>
      </c>
      <c r="C4" s="209" t="s">
        <v>389</v>
      </c>
      <c r="D4" s="222">
        <v>0.83</v>
      </c>
      <c r="E4" s="210">
        <f>K18/100</f>
        <v>0.90484081365220237</v>
      </c>
      <c r="F4" s="210">
        <f>K19/100</f>
        <v>0.85194642165768231</v>
      </c>
      <c r="G4" s="210">
        <f>K20/100</f>
        <v>0.79905202966316224</v>
      </c>
      <c r="H4" s="223" t="s">
        <v>390</v>
      </c>
      <c r="I4" s="224">
        <v>0.91</v>
      </c>
      <c r="J4" s="224">
        <v>0.98</v>
      </c>
      <c r="K4" s="215" t="s">
        <v>391</v>
      </c>
      <c r="L4" s="225">
        <v>0.83</v>
      </c>
      <c r="M4" s="225">
        <v>0.96</v>
      </c>
      <c r="N4" s="217" t="s">
        <v>392</v>
      </c>
      <c r="O4" s="226" t="s">
        <v>393</v>
      </c>
      <c r="P4" s="226" t="s">
        <v>393</v>
      </c>
      <c r="Q4" s="98">
        <f>(J4-F4)/(1-F4)</f>
        <v>0.86491376821870791</v>
      </c>
      <c r="R4" s="219">
        <f t="shared" si="0"/>
        <v>0.77777777777777746</v>
      </c>
      <c r="S4" s="98">
        <f>(M4-G4)/(1-G4)</f>
        <v>0.80094349829485567</v>
      </c>
      <c r="T4" s="219">
        <f t="shared" si="1"/>
        <v>0.76470588235294101</v>
      </c>
      <c r="U4" s="227">
        <f>(M4-G4)/(1-G4)</f>
        <v>0.80094349829485567</v>
      </c>
      <c r="V4" s="228">
        <f>(M4-L4)/(1-L4)</f>
        <v>0.76470588235294101</v>
      </c>
      <c r="W4" s="219"/>
      <c r="X4" s="219"/>
    </row>
    <row r="5" spans="1:30" ht="15.75" customHeight="1" x14ac:dyDescent="0.2">
      <c r="A5" s="229">
        <v>905</v>
      </c>
      <c r="B5" s="230" t="str">
        <f>HYPERLINK("https://drive.google.com/open?id=0B3T7UU25HHJfbV9XSE9YVkFkcVIzYzJnblZ2RGk5cXd5VVNR","Eze et al 2015")</f>
        <v>Eze et al 2015</v>
      </c>
      <c r="C5" s="209" t="s">
        <v>394</v>
      </c>
      <c r="D5" s="210">
        <v>0.57899999999999996</v>
      </c>
      <c r="E5" s="212">
        <v>0.94</v>
      </c>
      <c r="F5" s="212">
        <v>0.76</v>
      </c>
      <c r="G5" s="212">
        <v>0.57899999999999996</v>
      </c>
      <c r="H5" s="231" t="str">
        <f>HYPERLINK("https://prezi.com/wwd79oie7ii-/enhancing-routine-immunization-performance-using-innovative-technology-in-an-urban-area-in-nigeria/","Eyeball from chart in Prezi: DPT1")</f>
        <v>Eyeball from chart in Prezi: DPT1</v>
      </c>
      <c r="I5" s="224">
        <v>0.92</v>
      </c>
      <c r="J5" s="224">
        <v>0.94</v>
      </c>
      <c r="K5" s="232" t="str">
        <f>HYPERLINK("https://prezi.com/wwd79oie7ii-/enhancing-routine-immunization-performance-using-innovative-technology-in-an-urban-area-in-nigeria/","Eyeball from chart in Prezi: DTP2")</f>
        <v>Eyeball from chart in Prezi: DTP2</v>
      </c>
      <c r="L5" s="225">
        <v>0.78</v>
      </c>
      <c r="M5" s="225">
        <v>0.82</v>
      </c>
      <c r="N5" s="233" t="s">
        <v>395</v>
      </c>
      <c r="O5" s="234">
        <v>0.60299999999999998</v>
      </c>
      <c r="P5" s="234">
        <v>0.69</v>
      </c>
      <c r="Q5" s="98">
        <f t="shared" ref="Q5:Q6" si="3">(J5-E5)/(1-E5)</f>
        <v>0</v>
      </c>
      <c r="R5" s="219">
        <f t="shared" si="0"/>
        <v>0.24999999999999895</v>
      </c>
      <c r="S5" s="98">
        <f t="shared" ref="S5:S6" si="4">(M5-F5)/(1-F5)</f>
        <v>0.24999999999999978</v>
      </c>
      <c r="T5" s="219">
        <f t="shared" si="1"/>
        <v>0.18181818181818149</v>
      </c>
      <c r="U5" s="220">
        <f t="shared" ref="U5:U6" si="5">(P5-G5)/(1-G5)</f>
        <v>0.26365795724465552</v>
      </c>
      <c r="V5" s="219">
        <f t="shared" ref="V5:V6" si="6">(P5-O5)/(1-O5)</f>
        <v>0.21914357682619637</v>
      </c>
      <c r="W5" s="220">
        <f t="shared" ref="W5:X5" si="7">U5</f>
        <v>0.26365795724465552</v>
      </c>
      <c r="X5" s="220">
        <f t="shared" si="7"/>
        <v>0.21914357682619637</v>
      </c>
      <c r="Y5" s="4" t="s">
        <v>408</v>
      </c>
    </row>
    <row r="6" spans="1:30" ht="15.75" customHeight="1" x14ac:dyDescent="0.2">
      <c r="A6" s="207">
        <v>304</v>
      </c>
      <c r="B6" s="230" t="str">
        <f>HYPERLINK("http://bmcpublichealth.biomedcentral.com/articles/10.1186/s12889-015-1470-6","Bangure et al 2015")</f>
        <v>Bangure et al 2015</v>
      </c>
      <c r="C6" s="209" t="s">
        <v>409</v>
      </c>
      <c r="D6" s="210">
        <v>0.75</v>
      </c>
      <c r="E6" s="212">
        <v>0.74</v>
      </c>
      <c r="F6" s="212">
        <v>0.84</v>
      </c>
      <c r="G6" s="212">
        <v>0.74</v>
      </c>
      <c r="H6" s="223" t="s">
        <v>410</v>
      </c>
      <c r="I6" s="224">
        <v>0.82</v>
      </c>
      <c r="J6" s="224">
        <v>0.97</v>
      </c>
      <c r="K6" s="215" t="s">
        <v>411</v>
      </c>
      <c r="L6" s="225">
        <v>0.8</v>
      </c>
      <c r="M6" s="225">
        <v>0.96</v>
      </c>
      <c r="N6" s="217" t="s">
        <v>412</v>
      </c>
      <c r="O6" s="238">
        <v>0.75</v>
      </c>
      <c r="P6" s="238">
        <v>0.95</v>
      </c>
      <c r="Q6" s="98">
        <f t="shared" si="3"/>
        <v>0.88461538461538447</v>
      </c>
      <c r="R6" s="219">
        <f t="shared" si="0"/>
        <v>0.83333333333333326</v>
      </c>
      <c r="S6" s="98">
        <f t="shared" si="4"/>
        <v>0.74999999999999978</v>
      </c>
      <c r="T6" s="219">
        <f t="shared" si="1"/>
        <v>0.79999999999999982</v>
      </c>
      <c r="U6" s="220">
        <f t="shared" si="5"/>
        <v>0.80769230769230749</v>
      </c>
      <c r="V6" s="219">
        <f t="shared" si="6"/>
        <v>0.79999999999999982</v>
      </c>
      <c r="W6" s="220">
        <f t="shared" ref="W6:X6" si="8">U6</f>
        <v>0.80769230769230749</v>
      </c>
      <c r="X6" s="220">
        <f t="shared" si="8"/>
        <v>0.79999999999999982</v>
      </c>
    </row>
    <row r="7" spans="1:30" ht="15.75" customHeight="1" x14ac:dyDescent="0.2">
      <c r="A7" s="239"/>
      <c r="B7" s="240" t="s">
        <v>421</v>
      </c>
      <c r="C7" s="241"/>
      <c r="D7" s="241"/>
      <c r="E7" s="241"/>
      <c r="F7" s="241"/>
      <c r="G7" s="241"/>
      <c r="H7" s="1"/>
      <c r="I7" s="239"/>
      <c r="J7" s="239"/>
      <c r="K7" s="1"/>
      <c r="L7" s="239"/>
      <c r="M7" s="161"/>
      <c r="N7" s="1"/>
      <c r="O7" s="239"/>
      <c r="P7" s="239"/>
      <c r="Q7" s="243">
        <f t="shared" ref="Q7:V7" si="9">AVERAGE(Q3:Q6)</f>
        <v>0.53670508730558852</v>
      </c>
      <c r="R7" s="244">
        <f t="shared" si="9"/>
        <v>0.56460057687484277</v>
      </c>
      <c r="S7" s="243">
        <f t="shared" si="9"/>
        <v>0.54560225388405859</v>
      </c>
      <c r="T7" s="244">
        <f t="shared" si="9"/>
        <v>0.5319973953531254</v>
      </c>
      <c r="U7" s="244">
        <f t="shared" si="9"/>
        <v>0.54606304219443658</v>
      </c>
      <c r="V7" s="244">
        <f t="shared" si="9"/>
        <v>0.52395196618126616</v>
      </c>
      <c r="W7" s="244">
        <f t="shared" ref="W7:X7" si="10">AVERAGE(W3,W5:W6)</f>
        <v>0.46110289016096345</v>
      </c>
      <c r="X7" s="244">
        <f t="shared" si="10"/>
        <v>0.44370066079070786</v>
      </c>
      <c r="Y7" s="239"/>
      <c r="Z7" s="239"/>
      <c r="AA7" s="239"/>
      <c r="AB7" s="239"/>
      <c r="AC7" s="239"/>
      <c r="AD7" s="239"/>
    </row>
    <row r="8" spans="1:30" ht="15.75" customHeight="1" x14ac:dyDescent="0.2">
      <c r="A8" s="239"/>
      <c r="B8" s="245" t="s">
        <v>433</v>
      </c>
      <c r="C8" s="246"/>
      <c r="D8" s="246"/>
      <c r="E8" s="246"/>
      <c r="F8" s="246"/>
      <c r="G8" s="246"/>
      <c r="H8" s="1"/>
      <c r="I8" s="239"/>
      <c r="J8" s="239"/>
      <c r="K8" s="1"/>
      <c r="L8" s="239"/>
      <c r="M8" s="239"/>
      <c r="N8" s="1"/>
      <c r="O8" s="239"/>
      <c r="P8" s="239"/>
      <c r="Q8" s="243">
        <f t="shared" ref="Q8:U8" si="11">SUMPRODUCT(Q3:Q6,$A$3:$A$6)/SUM($A$3:$A$6)</f>
        <v>0.50630271698251961</v>
      </c>
      <c r="R8" s="244">
        <f t="shared" si="11"/>
        <v>0.54612592311952002</v>
      </c>
      <c r="S8" s="243">
        <f t="shared" si="11"/>
        <v>0.54340218034209975</v>
      </c>
      <c r="T8" s="244">
        <f t="shared" si="11"/>
        <v>0.51287348482042761</v>
      </c>
      <c r="U8" s="244">
        <f t="shared" si="11"/>
        <v>0.54113627213569304</v>
      </c>
      <c r="V8" s="244">
        <f>SUMPRODUCT(V3:V6,A3:A6)/SUM(A3:A6)</f>
        <v>0.51197013617770704</v>
      </c>
      <c r="W8" s="244">
        <f t="shared" ref="W8:X8" si="12">((W3*$A$3)+(W5*$A$5)+(W6*$A$6))/SUM($A$3,$A$5:$A$6)</f>
        <v>0.37373161601928101</v>
      </c>
      <c r="X8" s="244">
        <f t="shared" si="12"/>
        <v>0.34912193021260252</v>
      </c>
      <c r="Y8" s="239"/>
      <c r="Z8" s="239"/>
      <c r="AA8" s="239"/>
      <c r="AB8" s="239"/>
      <c r="AC8" s="239"/>
      <c r="AD8" s="239"/>
    </row>
    <row r="9" spans="1:30" ht="15.75" customHeight="1" x14ac:dyDescent="0.2">
      <c r="B9" s="221"/>
      <c r="C9" s="210"/>
      <c r="D9" s="210"/>
      <c r="E9" s="210"/>
      <c r="F9" s="210"/>
      <c r="G9" s="210"/>
      <c r="H9" s="200"/>
      <c r="K9" s="200"/>
      <c r="N9" s="200"/>
    </row>
    <row r="10" spans="1:30" ht="15.75" customHeight="1" x14ac:dyDescent="0.2">
      <c r="B10" s="221"/>
      <c r="H10" s="200"/>
      <c r="K10" s="200"/>
      <c r="N10" s="200"/>
    </row>
    <row r="11" spans="1:30" ht="15.75" customHeight="1" x14ac:dyDescent="0.2">
      <c r="H11" s="200"/>
      <c r="K11" s="200"/>
      <c r="N11" s="200"/>
      <c r="V11" s="4"/>
    </row>
    <row r="12" spans="1:30" ht="15.75" customHeight="1" x14ac:dyDescent="0.2">
      <c r="C12" s="4"/>
      <c r="D12" s="4"/>
      <c r="H12" s="200"/>
      <c r="K12" s="200"/>
      <c r="N12" s="200"/>
    </row>
    <row r="13" spans="1:30" ht="15.75" customHeight="1" x14ac:dyDescent="0.2">
      <c r="E13" s="4"/>
      <c r="H13" s="200"/>
      <c r="K13" s="200"/>
      <c r="N13" s="200"/>
    </row>
    <row r="14" spans="1:30" ht="15.75" customHeight="1" x14ac:dyDescent="0.2">
      <c r="G14" s="249" t="s">
        <v>445</v>
      </c>
      <c r="H14" s="8"/>
      <c r="I14" s="8"/>
      <c r="J14" s="8"/>
      <c r="K14" s="250"/>
      <c r="N14" s="200"/>
    </row>
    <row r="15" spans="1:30" ht="15.75" customHeight="1" x14ac:dyDescent="0.2">
      <c r="G15" s="122" t="s">
        <v>450</v>
      </c>
      <c r="H15" s="251" t="s">
        <v>451</v>
      </c>
      <c r="I15" s="251" t="s">
        <v>452</v>
      </c>
      <c r="J15" s="251" t="s">
        <v>453</v>
      </c>
      <c r="K15" s="252" t="s">
        <v>454</v>
      </c>
      <c r="N15" s="200"/>
    </row>
    <row r="16" spans="1:30" ht="15.75" customHeight="1" x14ac:dyDescent="0.2">
      <c r="G16" s="122" t="s">
        <v>455</v>
      </c>
      <c r="H16" s="108">
        <v>211404</v>
      </c>
      <c r="I16" s="253">
        <v>397238</v>
      </c>
      <c r="J16" s="253">
        <v>100000</v>
      </c>
      <c r="K16" s="14"/>
      <c r="N16" s="200"/>
    </row>
    <row r="17" spans="5:14" ht="15.75" customHeight="1" x14ac:dyDescent="0.2">
      <c r="G17" s="122" t="s">
        <v>456</v>
      </c>
      <c r="H17" s="253">
        <v>13271</v>
      </c>
      <c r="I17" s="253">
        <v>12402</v>
      </c>
      <c r="J17" s="253">
        <v>7904</v>
      </c>
      <c r="K17" s="14"/>
      <c r="N17" s="200"/>
    </row>
    <row r="18" spans="5:14" ht="15.75" customHeight="1" x14ac:dyDescent="0.2">
      <c r="G18" s="122" t="s">
        <v>457</v>
      </c>
      <c r="H18" s="4">
        <v>88</v>
      </c>
      <c r="I18" s="4">
        <v>96</v>
      </c>
      <c r="J18" s="4">
        <v>86</v>
      </c>
      <c r="K18" s="14">
        <f>SUMPRODUCT(H18:J18, H17:J17)/SUM(H17:J17)</f>
        <v>90.484081365220234</v>
      </c>
      <c r="N18" s="200"/>
    </row>
    <row r="19" spans="5:14" ht="15.75" customHeight="1" x14ac:dyDescent="0.2">
      <c r="G19" s="122" t="s">
        <v>458</v>
      </c>
      <c r="H19" s="4">
        <f t="shared" ref="H19:J19" si="13">((H18 - H20) /2) + H20</f>
        <v>83.5</v>
      </c>
      <c r="I19" s="4">
        <f t="shared" si="13"/>
        <v>90</v>
      </c>
      <c r="J19" s="4">
        <f t="shared" si="13"/>
        <v>80.5</v>
      </c>
      <c r="K19" s="14">
        <f>SUMPRODUCT(H19:J19, H17:J17)/SUM(H17:J17)</f>
        <v>85.194642165768229</v>
      </c>
      <c r="N19" s="200"/>
    </row>
    <row r="20" spans="5:14" ht="15.75" customHeight="1" x14ac:dyDescent="0.2">
      <c r="G20" s="145" t="s">
        <v>459</v>
      </c>
      <c r="H20" s="254">
        <v>79</v>
      </c>
      <c r="I20" s="254">
        <v>84</v>
      </c>
      <c r="J20" s="254">
        <v>75</v>
      </c>
      <c r="K20" s="255">
        <f>SUMPRODUCT(H20:J20, H17:J17)/SUM(H17:J17)</f>
        <v>79.905202966316224</v>
      </c>
      <c r="N20" s="200"/>
    </row>
    <row r="21" spans="5:14" ht="15.75" customHeight="1" x14ac:dyDescent="0.2">
      <c r="H21" s="200"/>
      <c r="K21" s="200"/>
      <c r="N21" s="200"/>
    </row>
    <row r="22" spans="5:14" ht="15.75" customHeight="1" x14ac:dyDescent="0.2">
      <c r="E22" s="256"/>
      <c r="F22" s="256"/>
      <c r="H22" s="200"/>
      <c r="K22" s="200"/>
      <c r="N22" s="200"/>
    </row>
    <row r="23" spans="5:14" ht="15.75" customHeight="1" x14ac:dyDescent="0.2">
      <c r="E23" s="256"/>
      <c r="F23" s="256"/>
      <c r="H23" s="200"/>
      <c r="K23" s="200"/>
      <c r="N23" s="200"/>
    </row>
    <row r="24" spans="5:14" ht="15.75" customHeight="1" x14ac:dyDescent="0.2">
      <c r="E24" s="256"/>
      <c r="F24" s="256"/>
      <c r="H24" s="200"/>
      <c r="K24" s="200"/>
      <c r="N24" s="200"/>
    </row>
    <row r="25" spans="5:14" ht="15.75" customHeight="1" x14ac:dyDescent="0.2">
      <c r="E25" s="256"/>
      <c r="F25" s="256"/>
      <c r="H25" s="200"/>
      <c r="K25" s="200"/>
      <c r="N25" s="200"/>
    </row>
    <row r="26" spans="5:14" ht="15.75" customHeight="1" x14ac:dyDescent="0.2">
      <c r="H26" s="200"/>
      <c r="K26" s="200"/>
      <c r="N26" s="200"/>
    </row>
    <row r="27" spans="5:14" ht="15.75" customHeight="1" x14ac:dyDescent="0.2">
      <c r="H27" s="200"/>
      <c r="K27" s="200"/>
      <c r="L27" s="4"/>
      <c r="N27" s="200"/>
    </row>
    <row r="28" spans="5:14" ht="15.75" customHeight="1" x14ac:dyDescent="0.2">
      <c r="H28" s="185"/>
      <c r="I28" s="4"/>
      <c r="J28" s="4"/>
      <c r="K28" s="200"/>
      <c r="N28" s="200"/>
    </row>
    <row r="29" spans="5:14" ht="15.75" customHeight="1" x14ac:dyDescent="0.2">
      <c r="H29" s="185"/>
      <c r="I29" s="4"/>
      <c r="J29" s="4"/>
      <c r="K29" s="200"/>
      <c r="N29" s="200"/>
    </row>
    <row r="30" spans="5:14" ht="15.75" customHeight="1" x14ac:dyDescent="0.2">
      <c r="H30" s="185"/>
      <c r="I30" s="4"/>
      <c r="J30" s="4"/>
      <c r="K30" s="200"/>
      <c r="N30" s="200"/>
    </row>
    <row r="31" spans="5:14" ht="15.75" customHeight="1" x14ac:dyDescent="0.2">
      <c r="H31" s="200"/>
      <c r="K31" s="200"/>
      <c r="N31" s="200"/>
    </row>
    <row r="32" spans="5:14" ht="15.75" customHeight="1" x14ac:dyDescent="0.2">
      <c r="H32" s="200"/>
      <c r="K32" s="200"/>
      <c r="N32" s="200"/>
    </row>
    <row r="33" spans="8:14" ht="12.75" x14ac:dyDescent="0.2">
      <c r="H33" s="200"/>
      <c r="K33" s="200"/>
      <c r="N33" s="200"/>
    </row>
    <row r="34" spans="8:14" ht="12.75" x14ac:dyDescent="0.2">
      <c r="H34" s="200"/>
      <c r="K34" s="200"/>
      <c r="N34" s="200"/>
    </row>
    <row r="35" spans="8:14" ht="12.75" x14ac:dyDescent="0.2">
      <c r="H35" s="200"/>
      <c r="K35" s="200"/>
      <c r="N35" s="200"/>
    </row>
    <row r="36" spans="8:14" ht="12.75" x14ac:dyDescent="0.2">
      <c r="H36" s="200"/>
      <c r="K36" s="200"/>
      <c r="N36" s="200"/>
    </row>
    <row r="37" spans="8:14" ht="12.75" x14ac:dyDescent="0.2">
      <c r="H37" s="200"/>
      <c r="K37" s="200"/>
      <c r="N37" s="200"/>
    </row>
    <row r="38" spans="8:14" ht="12.75" x14ac:dyDescent="0.2">
      <c r="H38" s="200"/>
      <c r="K38" s="200"/>
      <c r="N38" s="200"/>
    </row>
    <row r="39" spans="8:14" ht="12.75" x14ac:dyDescent="0.2">
      <c r="H39" s="200"/>
      <c r="K39" s="200"/>
      <c r="N39" s="200"/>
    </row>
    <row r="40" spans="8:14" ht="12.75" x14ac:dyDescent="0.2">
      <c r="H40" s="200"/>
      <c r="K40" s="200"/>
      <c r="N40" s="200"/>
    </row>
    <row r="41" spans="8:14" ht="12.75" x14ac:dyDescent="0.2">
      <c r="H41" s="200"/>
      <c r="K41" s="200"/>
      <c r="N41" s="200"/>
    </row>
    <row r="42" spans="8:14" ht="12.75" x14ac:dyDescent="0.2">
      <c r="H42" s="200"/>
      <c r="K42" s="200"/>
      <c r="N42" s="200"/>
    </row>
    <row r="43" spans="8:14" ht="12.75" x14ac:dyDescent="0.2">
      <c r="H43" s="200"/>
      <c r="K43" s="200"/>
      <c r="N43" s="200"/>
    </row>
    <row r="44" spans="8:14" ht="12.75" x14ac:dyDescent="0.2">
      <c r="H44" s="200"/>
      <c r="K44" s="200"/>
      <c r="N44" s="200"/>
    </row>
    <row r="45" spans="8:14" ht="12.75" x14ac:dyDescent="0.2">
      <c r="H45" s="200"/>
      <c r="K45" s="200"/>
      <c r="N45" s="200"/>
    </row>
    <row r="46" spans="8:14" ht="12.75" x14ac:dyDescent="0.2">
      <c r="H46" s="200"/>
      <c r="K46" s="200"/>
      <c r="N46" s="200"/>
    </row>
    <row r="47" spans="8:14" ht="12.75" x14ac:dyDescent="0.2">
      <c r="H47" s="200"/>
      <c r="K47" s="200"/>
      <c r="N47" s="200"/>
    </row>
    <row r="48" spans="8:14" ht="12.75" x14ac:dyDescent="0.2">
      <c r="H48" s="200"/>
      <c r="K48" s="200"/>
      <c r="N48" s="200"/>
    </row>
    <row r="49" spans="8:14" ht="12.75" x14ac:dyDescent="0.2">
      <c r="H49" s="200"/>
      <c r="K49" s="200"/>
      <c r="N49" s="200"/>
    </row>
    <row r="50" spans="8:14" ht="12.75" x14ac:dyDescent="0.2">
      <c r="H50" s="200"/>
      <c r="K50" s="200"/>
      <c r="N50" s="200"/>
    </row>
    <row r="51" spans="8:14" ht="12.75" x14ac:dyDescent="0.2">
      <c r="H51" s="200"/>
      <c r="K51" s="200"/>
      <c r="N51" s="200"/>
    </row>
    <row r="52" spans="8:14" ht="12.75" x14ac:dyDescent="0.2">
      <c r="H52" s="200"/>
      <c r="K52" s="200"/>
      <c r="N52" s="200"/>
    </row>
    <row r="53" spans="8:14" ht="12.75" x14ac:dyDescent="0.2">
      <c r="H53" s="200"/>
      <c r="K53" s="200"/>
      <c r="N53" s="200"/>
    </row>
    <row r="54" spans="8:14" ht="12.75" x14ac:dyDescent="0.2">
      <c r="H54" s="200"/>
      <c r="K54" s="200"/>
      <c r="N54" s="200"/>
    </row>
    <row r="55" spans="8:14" ht="12.75" x14ac:dyDescent="0.2">
      <c r="H55" s="200"/>
      <c r="K55" s="200"/>
      <c r="N55" s="200"/>
    </row>
    <row r="56" spans="8:14" ht="12.75" x14ac:dyDescent="0.2">
      <c r="H56" s="200"/>
      <c r="K56" s="200"/>
      <c r="N56" s="200"/>
    </row>
    <row r="57" spans="8:14" ht="12.75" x14ac:dyDescent="0.2">
      <c r="H57" s="200"/>
      <c r="K57" s="200"/>
      <c r="N57" s="200"/>
    </row>
    <row r="58" spans="8:14" ht="12.75" x14ac:dyDescent="0.2">
      <c r="H58" s="200"/>
      <c r="K58" s="200"/>
      <c r="N58" s="200"/>
    </row>
    <row r="59" spans="8:14" ht="12.75" x14ac:dyDescent="0.2">
      <c r="H59" s="200"/>
      <c r="K59" s="200"/>
      <c r="N59" s="200"/>
    </row>
    <row r="60" spans="8:14" ht="12.75" x14ac:dyDescent="0.2">
      <c r="H60" s="200"/>
      <c r="K60" s="200"/>
      <c r="N60" s="200"/>
    </row>
    <row r="61" spans="8:14" ht="12.75" x14ac:dyDescent="0.2">
      <c r="H61" s="200"/>
      <c r="K61" s="200"/>
      <c r="N61" s="200"/>
    </row>
    <row r="62" spans="8:14" ht="12.75" x14ac:dyDescent="0.2">
      <c r="H62" s="200"/>
      <c r="K62" s="200"/>
      <c r="N62" s="200"/>
    </row>
    <row r="63" spans="8:14" ht="12.75" x14ac:dyDescent="0.2">
      <c r="H63" s="200"/>
      <c r="K63" s="200"/>
      <c r="N63" s="200"/>
    </row>
    <row r="64" spans="8:14" ht="12.75" x14ac:dyDescent="0.2">
      <c r="H64" s="200"/>
      <c r="K64" s="200"/>
      <c r="N64" s="200"/>
    </row>
    <row r="65" spans="8:14" ht="12.75" x14ac:dyDescent="0.2">
      <c r="H65" s="200"/>
      <c r="K65" s="200"/>
      <c r="N65" s="200"/>
    </row>
    <row r="66" spans="8:14" ht="12.75" x14ac:dyDescent="0.2">
      <c r="H66" s="200"/>
      <c r="K66" s="200"/>
      <c r="N66" s="200"/>
    </row>
    <row r="67" spans="8:14" ht="12.75" x14ac:dyDescent="0.2">
      <c r="H67" s="200"/>
      <c r="K67" s="200"/>
      <c r="N67" s="200"/>
    </row>
    <row r="68" spans="8:14" ht="12.75" x14ac:dyDescent="0.2">
      <c r="H68" s="200"/>
      <c r="K68" s="200"/>
      <c r="N68" s="200"/>
    </row>
    <row r="69" spans="8:14" ht="12.75" x14ac:dyDescent="0.2">
      <c r="H69" s="200"/>
      <c r="K69" s="200"/>
      <c r="N69" s="200"/>
    </row>
    <row r="70" spans="8:14" ht="12.75" x14ac:dyDescent="0.2">
      <c r="H70" s="200"/>
      <c r="K70" s="200"/>
      <c r="N70" s="200"/>
    </row>
    <row r="71" spans="8:14" ht="12.75" x14ac:dyDescent="0.2">
      <c r="H71" s="200"/>
      <c r="K71" s="200"/>
      <c r="N71" s="200"/>
    </row>
    <row r="72" spans="8:14" ht="12.75" x14ac:dyDescent="0.2">
      <c r="H72" s="200"/>
      <c r="K72" s="200"/>
      <c r="N72" s="200"/>
    </row>
    <row r="73" spans="8:14" ht="12.75" x14ac:dyDescent="0.2">
      <c r="H73" s="200"/>
      <c r="K73" s="200"/>
      <c r="N73" s="200"/>
    </row>
    <row r="74" spans="8:14" ht="12.75" x14ac:dyDescent="0.2">
      <c r="H74" s="200"/>
      <c r="K74" s="200"/>
      <c r="N74" s="200"/>
    </row>
    <row r="75" spans="8:14" ht="12.75" x14ac:dyDescent="0.2">
      <c r="H75" s="200"/>
      <c r="K75" s="200"/>
      <c r="N75" s="200"/>
    </row>
    <row r="76" spans="8:14" ht="12.75" x14ac:dyDescent="0.2">
      <c r="H76" s="200"/>
      <c r="K76" s="200"/>
      <c r="N76" s="200"/>
    </row>
    <row r="77" spans="8:14" ht="12.75" x14ac:dyDescent="0.2">
      <c r="H77" s="200"/>
      <c r="K77" s="200"/>
      <c r="N77" s="200"/>
    </row>
    <row r="78" spans="8:14" ht="12.75" x14ac:dyDescent="0.2">
      <c r="H78" s="200"/>
      <c r="K78" s="200"/>
      <c r="N78" s="200"/>
    </row>
    <row r="79" spans="8:14" ht="12.75" x14ac:dyDescent="0.2">
      <c r="H79" s="200"/>
      <c r="K79" s="200"/>
      <c r="N79" s="200"/>
    </row>
    <row r="80" spans="8:14" ht="12.75" x14ac:dyDescent="0.2">
      <c r="H80" s="200"/>
      <c r="K80" s="200"/>
      <c r="N80" s="200"/>
    </row>
    <row r="81" spans="8:14" ht="12.75" x14ac:dyDescent="0.2">
      <c r="H81" s="200"/>
      <c r="K81" s="200"/>
      <c r="N81" s="200"/>
    </row>
    <row r="82" spans="8:14" ht="12.75" x14ac:dyDescent="0.2">
      <c r="H82" s="200"/>
      <c r="K82" s="200"/>
      <c r="N82" s="200"/>
    </row>
    <row r="83" spans="8:14" ht="12.75" x14ac:dyDescent="0.2">
      <c r="H83" s="200"/>
      <c r="K83" s="200"/>
      <c r="N83" s="200"/>
    </row>
    <row r="84" spans="8:14" ht="12.75" x14ac:dyDescent="0.2">
      <c r="H84" s="200"/>
      <c r="K84" s="200"/>
      <c r="N84" s="200"/>
    </row>
    <row r="85" spans="8:14" ht="12.75" x14ac:dyDescent="0.2">
      <c r="H85" s="200"/>
      <c r="K85" s="200"/>
      <c r="N85" s="200"/>
    </row>
    <row r="86" spans="8:14" ht="12.75" x14ac:dyDescent="0.2">
      <c r="H86" s="200"/>
      <c r="K86" s="200"/>
      <c r="N86" s="200"/>
    </row>
    <row r="87" spans="8:14" ht="12.75" x14ac:dyDescent="0.2">
      <c r="H87" s="200"/>
      <c r="K87" s="200"/>
      <c r="N87" s="200"/>
    </row>
    <row r="88" spans="8:14" ht="12.75" x14ac:dyDescent="0.2">
      <c r="H88" s="200"/>
      <c r="K88" s="200"/>
      <c r="N88" s="200"/>
    </row>
    <row r="89" spans="8:14" ht="12.75" x14ac:dyDescent="0.2">
      <c r="H89" s="200"/>
      <c r="K89" s="200"/>
      <c r="N89" s="200"/>
    </row>
    <row r="90" spans="8:14" ht="12.75" x14ac:dyDescent="0.2">
      <c r="H90" s="200"/>
      <c r="K90" s="200"/>
      <c r="N90" s="200"/>
    </row>
    <row r="91" spans="8:14" ht="12.75" x14ac:dyDescent="0.2">
      <c r="H91" s="200"/>
      <c r="K91" s="200"/>
      <c r="N91" s="200"/>
    </row>
    <row r="92" spans="8:14" ht="12.75" x14ac:dyDescent="0.2">
      <c r="H92" s="200"/>
      <c r="K92" s="200"/>
      <c r="N92" s="200"/>
    </row>
    <row r="93" spans="8:14" ht="12.75" x14ac:dyDescent="0.2">
      <c r="H93" s="200"/>
      <c r="K93" s="200"/>
      <c r="N93" s="200"/>
    </row>
    <row r="94" spans="8:14" ht="12.75" x14ac:dyDescent="0.2">
      <c r="H94" s="200"/>
      <c r="K94" s="200"/>
      <c r="N94" s="200"/>
    </row>
    <row r="95" spans="8:14" ht="12.75" x14ac:dyDescent="0.2">
      <c r="H95" s="200"/>
      <c r="K95" s="200"/>
      <c r="N95" s="200"/>
    </row>
    <row r="96" spans="8:14" ht="12.75" x14ac:dyDescent="0.2">
      <c r="H96" s="200"/>
      <c r="K96" s="200"/>
      <c r="N96" s="200"/>
    </row>
    <row r="97" spans="8:14" ht="12.75" x14ac:dyDescent="0.2">
      <c r="H97" s="200"/>
      <c r="K97" s="200"/>
      <c r="N97" s="200"/>
    </row>
    <row r="98" spans="8:14" ht="12.75" x14ac:dyDescent="0.2">
      <c r="H98" s="200"/>
      <c r="K98" s="200"/>
      <c r="N98" s="200"/>
    </row>
    <row r="99" spans="8:14" ht="12.75" x14ac:dyDescent="0.2">
      <c r="H99" s="200"/>
      <c r="K99" s="200"/>
      <c r="N99" s="200"/>
    </row>
    <row r="100" spans="8:14" ht="12.75" x14ac:dyDescent="0.2">
      <c r="H100" s="200"/>
      <c r="K100" s="200"/>
      <c r="N100" s="200"/>
    </row>
    <row r="101" spans="8:14" ht="12.75" x14ac:dyDescent="0.2">
      <c r="H101" s="200"/>
      <c r="K101" s="200"/>
      <c r="N101" s="200"/>
    </row>
    <row r="102" spans="8:14" ht="12.75" x14ac:dyDescent="0.2">
      <c r="H102" s="200"/>
      <c r="K102" s="200"/>
      <c r="N102" s="200"/>
    </row>
    <row r="103" spans="8:14" ht="12.75" x14ac:dyDescent="0.2">
      <c r="H103" s="200"/>
      <c r="K103" s="200"/>
      <c r="N103" s="200"/>
    </row>
    <row r="104" spans="8:14" ht="12.75" x14ac:dyDescent="0.2">
      <c r="H104" s="200"/>
      <c r="K104" s="200"/>
      <c r="N104" s="200"/>
    </row>
    <row r="105" spans="8:14" ht="12.75" x14ac:dyDescent="0.2">
      <c r="H105" s="200"/>
      <c r="K105" s="200"/>
      <c r="N105" s="200"/>
    </row>
    <row r="106" spans="8:14" ht="12.75" x14ac:dyDescent="0.2">
      <c r="H106" s="200"/>
      <c r="K106" s="200"/>
      <c r="N106" s="200"/>
    </row>
    <row r="107" spans="8:14" ht="12.75" x14ac:dyDescent="0.2">
      <c r="H107" s="200"/>
      <c r="K107" s="200"/>
      <c r="N107" s="200"/>
    </row>
    <row r="108" spans="8:14" ht="12.75" x14ac:dyDescent="0.2">
      <c r="H108" s="200"/>
      <c r="K108" s="200"/>
      <c r="N108" s="200"/>
    </row>
    <row r="109" spans="8:14" ht="12.75" x14ac:dyDescent="0.2">
      <c r="H109" s="200"/>
      <c r="K109" s="200"/>
      <c r="N109" s="200"/>
    </row>
    <row r="110" spans="8:14" ht="12.75" x14ac:dyDescent="0.2">
      <c r="H110" s="200"/>
      <c r="K110" s="200"/>
      <c r="N110" s="200"/>
    </row>
    <row r="111" spans="8:14" ht="12.75" x14ac:dyDescent="0.2">
      <c r="H111" s="200"/>
      <c r="K111" s="200"/>
      <c r="N111" s="200"/>
    </row>
    <row r="112" spans="8:14" ht="12.75" x14ac:dyDescent="0.2">
      <c r="H112" s="200"/>
      <c r="K112" s="200"/>
      <c r="N112" s="200"/>
    </row>
    <row r="113" spans="8:14" ht="12.75" x14ac:dyDescent="0.2">
      <c r="H113" s="200"/>
      <c r="K113" s="200"/>
      <c r="N113" s="200"/>
    </row>
    <row r="114" spans="8:14" ht="12.75" x14ac:dyDescent="0.2">
      <c r="H114" s="200"/>
      <c r="K114" s="200"/>
      <c r="N114" s="200"/>
    </row>
    <row r="115" spans="8:14" ht="12.75" x14ac:dyDescent="0.2">
      <c r="H115" s="200"/>
      <c r="K115" s="200"/>
      <c r="N115" s="200"/>
    </row>
    <row r="116" spans="8:14" ht="12.75" x14ac:dyDescent="0.2">
      <c r="H116" s="200"/>
      <c r="K116" s="200"/>
      <c r="N116" s="200"/>
    </row>
    <row r="117" spans="8:14" ht="12.75" x14ac:dyDescent="0.2">
      <c r="H117" s="200"/>
      <c r="K117" s="200"/>
      <c r="N117" s="200"/>
    </row>
    <row r="118" spans="8:14" ht="12.75" x14ac:dyDescent="0.2">
      <c r="H118" s="200"/>
      <c r="K118" s="200"/>
      <c r="N118" s="200"/>
    </row>
    <row r="119" spans="8:14" ht="12.75" x14ac:dyDescent="0.2">
      <c r="H119" s="200"/>
      <c r="K119" s="200"/>
      <c r="N119" s="200"/>
    </row>
    <row r="120" spans="8:14" ht="12.75" x14ac:dyDescent="0.2">
      <c r="H120" s="200"/>
      <c r="K120" s="200"/>
      <c r="N120" s="200"/>
    </row>
    <row r="121" spans="8:14" ht="12.75" x14ac:dyDescent="0.2">
      <c r="H121" s="200"/>
      <c r="K121" s="200"/>
      <c r="N121" s="200"/>
    </row>
    <row r="122" spans="8:14" ht="12.75" x14ac:dyDescent="0.2">
      <c r="H122" s="200"/>
      <c r="K122" s="200"/>
      <c r="N122" s="200"/>
    </row>
    <row r="123" spans="8:14" ht="12.75" x14ac:dyDescent="0.2">
      <c r="H123" s="200"/>
      <c r="K123" s="200"/>
      <c r="N123" s="200"/>
    </row>
    <row r="124" spans="8:14" ht="12.75" x14ac:dyDescent="0.2">
      <c r="H124" s="200"/>
      <c r="K124" s="200"/>
      <c r="N124" s="200"/>
    </row>
    <row r="125" spans="8:14" ht="12.75" x14ac:dyDescent="0.2">
      <c r="H125" s="200"/>
      <c r="K125" s="200"/>
      <c r="N125" s="200"/>
    </row>
    <row r="126" spans="8:14" ht="12.75" x14ac:dyDescent="0.2">
      <c r="H126" s="200"/>
      <c r="K126" s="200"/>
      <c r="N126" s="200"/>
    </row>
    <row r="127" spans="8:14" ht="12.75" x14ac:dyDescent="0.2">
      <c r="H127" s="200"/>
      <c r="K127" s="200"/>
      <c r="N127" s="200"/>
    </row>
    <row r="128" spans="8:14" ht="12.75" x14ac:dyDescent="0.2">
      <c r="H128" s="200"/>
      <c r="K128" s="200"/>
      <c r="N128" s="200"/>
    </row>
    <row r="129" spans="8:14" ht="12.75" x14ac:dyDescent="0.2">
      <c r="H129" s="200"/>
      <c r="K129" s="200"/>
      <c r="N129" s="200"/>
    </row>
    <row r="130" spans="8:14" ht="12.75" x14ac:dyDescent="0.2">
      <c r="H130" s="200"/>
      <c r="K130" s="200"/>
      <c r="N130" s="200"/>
    </row>
    <row r="131" spans="8:14" ht="12.75" x14ac:dyDescent="0.2">
      <c r="H131" s="200"/>
      <c r="K131" s="200"/>
      <c r="N131" s="200"/>
    </row>
    <row r="132" spans="8:14" ht="12.75" x14ac:dyDescent="0.2">
      <c r="H132" s="200"/>
      <c r="K132" s="200"/>
      <c r="N132" s="200"/>
    </row>
    <row r="133" spans="8:14" ht="12.75" x14ac:dyDescent="0.2">
      <c r="H133" s="200"/>
      <c r="K133" s="200"/>
      <c r="N133" s="200"/>
    </row>
    <row r="134" spans="8:14" ht="12.75" x14ac:dyDescent="0.2">
      <c r="H134" s="200"/>
      <c r="K134" s="200"/>
      <c r="N134" s="200"/>
    </row>
    <row r="135" spans="8:14" ht="12.75" x14ac:dyDescent="0.2">
      <c r="H135" s="200"/>
      <c r="K135" s="200"/>
      <c r="N135" s="200"/>
    </row>
    <row r="136" spans="8:14" ht="12.75" x14ac:dyDescent="0.2">
      <c r="H136" s="200"/>
      <c r="K136" s="200"/>
      <c r="N136" s="200"/>
    </row>
    <row r="137" spans="8:14" ht="12.75" x14ac:dyDescent="0.2">
      <c r="H137" s="200"/>
      <c r="K137" s="200"/>
      <c r="N137" s="200"/>
    </row>
    <row r="138" spans="8:14" ht="12.75" x14ac:dyDescent="0.2">
      <c r="H138" s="200"/>
      <c r="K138" s="200"/>
      <c r="N138" s="200"/>
    </row>
    <row r="139" spans="8:14" ht="12.75" x14ac:dyDescent="0.2">
      <c r="H139" s="200"/>
      <c r="K139" s="200"/>
      <c r="N139" s="200"/>
    </row>
    <row r="140" spans="8:14" ht="12.75" x14ac:dyDescent="0.2">
      <c r="H140" s="200"/>
      <c r="K140" s="200"/>
      <c r="N140" s="200"/>
    </row>
    <row r="141" spans="8:14" ht="12.75" x14ac:dyDescent="0.2">
      <c r="H141" s="200"/>
      <c r="K141" s="200"/>
      <c r="N141" s="200"/>
    </row>
    <row r="142" spans="8:14" ht="12.75" x14ac:dyDescent="0.2">
      <c r="H142" s="200"/>
      <c r="K142" s="200"/>
      <c r="N142" s="200"/>
    </row>
    <row r="143" spans="8:14" ht="12.75" x14ac:dyDescent="0.2">
      <c r="H143" s="200"/>
      <c r="K143" s="200"/>
      <c r="N143" s="200"/>
    </row>
    <row r="144" spans="8:14" ht="12.75" x14ac:dyDescent="0.2">
      <c r="H144" s="200"/>
      <c r="K144" s="200"/>
      <c r="N144" s="200"/>
    </row>
    <row r="145" spans="8:14" ht="12.75" x14ac:dyDescent="0.2">
      <c r="H145" s="200"/>
      <c r="K145" s="200"/>
      <c r="N145" s="200"/>
    </row>
    <row r="146" spans="8:14" ht="12.75" x14ac:dyDescent="0.2">
      <c r="H146" s="200"/>
      <c r="K146" s="200"/>
      <c r="N146" s="200"/>
    </row>
    <row r="147" spans="8:14" ht="12.75" x14ac:dyDescent="0.2">
      <c r="H147" s="200"/>
      <c r="K147" s="200"/>
      <c r="N147" s="200"/>
    </row>
    <row r="148" spans="8:14" ht="12.75" x14ac:dyDescent="0.2">
      <c r="H148" s="200"/>
      <c r="K148" s="200"/>
      <c r="N148" s="200"/>
    </row>
    <row r="149" spans="8:14" ht="12.75" x14ac:dyDescent="0.2">
      <c r="H149" s="200"/>
      <c r="K149" s="200"/>
      <c r="N149" s="200"/>
    </row>
    <row r="150" spans="8:14" ht="12.75" x14ac:dyDescent="0.2">
      <c r="H150" s="200"/>
      <c r="K150" s="200"/>
      <c r="N150" s="200"/>
    </row>
    <row r="151" spans="8:14" ht="12.75" x14ac:dyDescent="0.2">
      <c r="H151" s="200"/>
      <c r="K151" s="200"/>
      <c r="N151" s="200"/>
    </row>
    <row r="152" spans="8:14" ht="12.75" x14ac:dyDescent="0.2">
      <c r="H152" s="200"/>
      <c r="K152" s="200"/>
      <c r="N152" s="200"/>
    </row>
    <row r="153" spans="8:14" ht="12.75" x14ac:dyDescent="0.2">
      <c r="H153" s="200"/>
      <c r="K153" s="200"/>
      <c r="N153" s="200"/>
    </row>
    <row r="154" spans="8:14" ht="12.75" x14ac:dyDescent="0.2">
      <c r="H154" s="200"/>
      <c r="K154" s="200"/>
      <c r="N154" s="200"/>
    </row>
    <row r="155" spans="8:14" ht="12.75" x14ac:dyDescent="0.2">
      <c r="H155" s="200"/>
      <c r="K155" s="200"/>
      <c r="N155" s="200"/>
    </row>
    <row r="156" spans="8:14" ht="12.75" x14ac:dyDescent="0.2">
      <c r="H156" s="200"/>
      <c r="K156" s="200"/>
      <c r="N156" s="200"/>
    </row>
    <row r="157" spans="8:14" ht="12.75" x14ac:dyDescent="0.2">
      <c r="H157" s="200"/>
      <c r="K157" s="200"/>
      <c r="N157" s="200"/>
    </row>
    <row r="158" spans="8:14" ht="12.75" x14ac:dyDescent="0.2">
      <c r="H158" s="200"/>
      <c r="K158" s="200"/>
      <c r="N158" s="200"/>
    </row>
    <row r="159" spans="8:14" ht="12.75" x14ac:dyDescent="0.2">
      <c r="H159" s="200"/>
      <c r="K159" s="200"/>
      <c r="N159" s="200"/>
    </row>
    <row r="160" spans="8:14" ht="12.75" x14ac:dyDescent="0.2">
      <c r="H160" s="200"/>
      <c r="K160" s="200"/>
      <c r="N160" s="200"/>
    </row>
    <row r="161" spans="8:14" ht="12.75" x14ac:dyDescent="0.2">
      <c r="H161" s="200"/>
      <c r="K161" s="200"/>
      <c r="N161" s="200"/>
    </row>
    <row r="162" spans="8:14" ht="12.75" x14ac:dyDescent="0.2">
      <c r="H162" s="200"/>
      <c r="K162" s="200"/>
      <c r="N162" s="200"/>
    </row>
    <row r="163" spans="8:14" ht="12.75" x14ac:dyDescent="0.2">
      <c r="H163" s="200"/>
      <c r="K163" s="200"/>
      <c r="N163" s="200"/>
    </row>
    <row r="164" spans="8:14" ht="12.75" x14ac:dyDescent="0.2">
      <c r="H164" s="200"/>
      <c r="K164" s="200"/>
      <c r="N164" s="200"/>
    </row>
    <row r="165" spans="8:14" ht="12.75" x14ac:dyDescent="0.2">
      <c r="H165" s="200"/>
      <c r="K165" s="200"/>
      <c r="N165" s="200"/>
    </row>
    <row r="166" spans="8:14" ht="12.75" x14ac:dyDescent="0.2">
      <c r="H166" s="200"/>
      <c r="K166" s="200"/>
      <c r="N166" s="200"/>
    </row>
    <row r="167" spans="8:14" ht="12.75" x14ac:dyDescent="0.2">
      <c r="H167" s="200"/>
      <c r="K167" s="200"/>
      <c r="N167" s="200"/>
    </row>
    <row r="168" spans="8:14" ht="12.75" x14ac:dyDescent="0.2">
      <c r="H168" s="200"/>
      <c r="K168" s="200"/>
      <c r="N168" s="200"/>
    </row>
    <row r="169" spans="8:14" ht="12.75" x14ac:dyDescent="0.2">
      <c r="H169" s="200"/>
      <c r="K169" s="200"/>
      <c r="N169" s="200"/>
    </row>
    <row r="170" spans="8:14" ht="12.75" x14ac:dyDescent="0.2">
      <c r="H170" s="200"/>
      <c r="K170" s="200"/>
      <c r="N170" s="200"/>
    </row>
    <row r="171" spans="8:14" ht="12.75" x14ac:dyDescent="0.2">
      <c r="H171" s="200"/>
      <c r="K171" s="200"/>
      <c r="N171" s="200"/>
    </row>
    <row r="172" spans="8:14" ht="12.75" x14ac:dyDescent="0.2">
      <c r="H172" s="200"/>
      <c r="K172" s="200"/>
      <c r="N172" s="200"/>
    </row>
    <row r="173" spans="8:14" ht="12.75" x14ac:dyDescent="0.2">
      <c r="H173" s="200"/>
      <c r="K173" s="200"/>
      <c r="N173" s="200"/>
    </row>
    <row r="174" spans="8:14" ht="12.75" x14ac:dyDescent="0.2">
      <c r="H174" s="200"/>
      <c r="K174" s="200"/>
      <c r="N174" s="200"/>
    </row>
    <row r="175" spans="8:14" ht="12.75" x14ac:dyDescent="0.2">
      <c r="H175" s="200"/>
      <c r="K175" s="200"/>
      <c r="N175" s="200"/>
    </row>
    <row r="176" spans="8:14" ht="12.75" x14ac:dyDescent="0.2">
      <c r="H176" s="200"/>
      <c r="K176" s="200"/>
      <c r="N176" s="200"/>
    </row>
    <row r="177" spans="8:14" ht="12.75" x14ac:dyDescent="0.2">
      <c r="H177" s="200"/>
      <c r="K177" s="200"/>
      <c r="N177" s="200"/>
    </row>
    <row r="178" spans="8:14" ht="12.75" x14ac:dyDescent="0.2">
      <c r="H178" s="200"/>
      <c r="K178" s="200"/>
      <c r="N178" s="200"/>
    </row>
    <row r="179" spans="8:14" ht="12.75" x14ac:dyDescent="0.2">
      <c r="H179" s="200"/>
      <c r="K179" s="200"/>
      <c r="N179" s="200"/>
    </row>
    <row r="180" spans="8:14" ht="12.75" x14ac:dyDescent="0.2">
      <c r="H180" s="200"/>
      <c r="K180" s="200"/>
      <c r="N180" s="200"/>
    </row>
    <row r="181" spans="8:14" ht="12.75" x14ac:dyDescent="0.2">
      <c r="H181" s="200"/>
      <c r="K181" s="200"/>
      <c r="N181" s="200"/>
    </row>
    <row r="182" spans="8:14" ht="12.75" x14ac:dyDescent="0.2">
      <c r="H182" s="200"/>
      <c r="K182" s="200"/>
      <c r="N182" s="200"/>
    </row>
    <row r="183" spans="8:14" ht="12.75" x14ac:dyDescent="0.2">
      <c r="H183" s="200"/>
      <c r="K183" s="200"/>
      <c r="N183" s="200"/>
    </row>
    <row r="184" spans="8:14" ht="12.75" x14ac:dyDescent="0.2">
      <c r="H184" s="200"/>
      <c r="K184" s="200"/>
      <c r="N184" s="200"/>
    </row>
    <row r="185" spans="8:14" ht="12.75" x14ac:dyDescent="0.2">
      <c r="H185" s="200"/>
      <c r="K185" s="200"/>
      <c r="N185" s="200"/>
    </row>
    <row r="186" spans="8:14" ht="12.75" x14ac:dyDescent="0.2">
      <c r="H186" s="200"/>
      <c r="K186" s="200"/>
      <c r="N186" s="200"/>
    </row>
    <row r="187" spans="8:14" ht="12.75" x14ac:dyDescent="0.2">
      <c r="H187" s="200"/>
      <c r="K187" s="200"/>
      <c r="N187" s="200"/>
    </row>
    <row r="188" spans="8:14" ht="12.75" x14ac:dyDescent="0.2">
      <c r="H188" s="200"/>
      <c r="K188" s="200"/>
      <c r="N188" s="200"/>
    </row>
    <row r="189" spans="8:14" ht="12.75" x14ac:dyDescent="0.2">
      <c r="H189" s="200"/>
      <c r="K189" s="200"/>
      <c r="N189" s="200"/>
    </row>
    <row r="190" spans="8:14" ht="12.75" x14ac:dyDescent="0.2">
      <c r="H190" s="200"/>
      <c r="K190" s="200"/>
      <c r="N190" s="200"/>
    </row>
    <row r="191" spans="8:14" ht="12.75" x14ac:dyDescent="0.2">
      <c r="H191" s="200"/>
      <c r="K191" s="200"/>
      <c r="N191" s="200"/>
    </row>
    <row r="192" spans="8:14" ht="12.75" x14ac:dyDescent="0.2">
      <c r="H192" s="200"/>
      <c r="K192" s="200"/>
      <c r="N192" s="200"/>
    </row>
    <row r="193" spans="8:14" ht="12.75" x14ac:dyDescent="0.2">
      <c r="H193" s="200"/>
      <c r="K193" s="200"/>
      <c r="N193" s="200"/>
    </row>
    <row r="194" spans="8:14" ht="12.75" x14ac:dyDescent="0.2">
      <c r="H194" s="200"/>
      <c r="K194" s="200"/>
      <c r="N194" s="200"/>
    </row>
    <row r="195" spans="8:14" ht="12.75" x14ac:dyDescent="0.2">
      <c r="H195" s="200"/>
      <c r="K195" s="200"/>
      <c r="N195" s="200"/>
    </row>
    <row r="196" spans="8:14" ht="12.75" x14ac:dyDescent="0.2">
      <c r="H196" s="200"/>
      <c r="K196" s="200"/>
      <c r="N196" s="200"/>
    </row>
    <row r="197" spans="8:14" ht="12.75" x14ac:dyDescent="0.2">
      <c r="H197" s="200"/>
      <c r="K197" s="200"/>
      <c r="N197" s="200"/>
    </row>
    <row r="198" spans="8:14" ht="12.75" x14ac:dyDescent="0.2">
      <c r="H198" s="200"/>
      <c r="K198" s="200"/>
      <c r="N198" s="200"/>
    </row>
    <row r="199" spans="8:14" ht="12.75" x14ac:dyDescent="0.2">
      <c r="H199" s="200"/>
      <c r="K199" s="200"/>
      <c r="N199" s="200"/>
    </row>
    <row r="200" spans="8:14" ht="12.75" x14ac:dyDescent="0.2">
      <c r="H200" s="200"/>
      <c r="K200" s="200"/>
      <c r="N200" s="200"/>
    </row>
    <row r="201" spans="8:14" ht="12.75" x14ac:dyDescent="0.2">
      <c r="H201" s="200"/>
      <c r="K201" s="200"/>
      <c r="N201" s="200"/>
    </row>
    <row r="202" spans="8:14" ht="12.75" x14ac:dyDescent="0.2">
      <c r="H202" s="200"/>
      <c r="K202" s="200"/>
      <c r="N202" s="200"/>
    </row>
    <row r="203" spans="8:14" ht="12.75" x14ac:dyDescent="0.2">
      <c r="H203" s="200"/>
      <c r="K203" s="200"/>
      <c r="N203" s="200"/>
    </row>
    <row r="204" spans="8:14" ht="12.75" x14ac:dyDescent="0.2">
      <c r="H204" s="200"/>
      <c r="K204" s="200"/>
      <c r="N204" s="200"/>
    </row>
    <row r="205" spans="8:14" ht="12.75" x14ac:dyDescent="0.2">
      <c r="H205" s="200"/>
      <c r="K205" s="200"/>
      <c r="N205" s="200"/>
    </row>
    <row r="206" spans="8:14" ht="12.75" x14ac:dyDescent="0.2">
      <c r="H206" s="200"/>
      <c r="K206" s="200"/>
      <c r="N206" s="200"/>
    </row>
    <row r="207" spans="8:14" ht="12.75" x14ac:dyDescent="0.2">
      <c r="H207" s="200"/>
      <c r="K207" s="200"/>
      <c r="N207" s="200"/>
    </row>
    <row r="208" spans="8:14" ht="12.75" x14ac:dyDescent="0.2">
      <c r="H208" s="200"/>
      <c r="K208" s="200"/>
      <c r="N208" s="200"/>
    </row>
    <row r="209" spans="8:14" ht="12.75" x14ac:dyDescent="0.2">
      <c r="H209" s="200"/>
      <c r="K209" s="200"/>
      <c r="N209" s="200"/>
    </row>
    <row r="210" spans="8:14" ht="12.75" x14ac:dyDescent="0.2">
      <c r="H210" s="200"/>
      <c r="K210" s="200"/>
      <c r="N210" s="200"/>
    </row>
    <row r="211" spans="8:14" ht="12.75" x14ac:dyDescent="0.2">
      <c r="H211" s="200"/>
      <c r="K211" s="200"/>
      <c r="N211" s="200"/>
    </row>
    <row r="212" spans="8:14" ht="12.75" x14ac:dyDescent="0.2">
      <c r="H212" s="200"/>
      <c r="K212" s="200"/>
      <c r="N212" s="200"/>
    </row>
    <row r="213" spans="8:14" ht="12.75" x14ac:dyDescent="0.2">
      <c r="H213" s="200"/>
      <c r="K213" s="200"/>
      <c r="N213" s="200"/>
    </row>
    <row r="214" spans="8:14" ht="12.75" x14ac:dyDescent="0.2">
      <c r="H214" s="200"/>
      <c r="K214" s="200"/>
      <c r="N214" s="200"/>
    </row>
    <row r="215" spans="8:14" ht="12.75" x14ac:dyDescent="0.2">
      <c r="H215" s="200"/>
      <c r="K215" s="200"/>
      <c r="N215" s="200"/>
    </row>
    <row r="216" spans="8:14" ht="12.75" x14ac:dyDescent="0.2">
      <c r="H216" s="200"/>
      <c r="K216" s="200"/>
      <c r="N216" s="200"/>
    </row>
    <row r="217" spans="8:14" ht="12.75" x14ac:dyDescent="0.2">
      <c r="H217" s="200"/>
      <c r="K217" s="200"/>
      <c r="N217" s="200"/>
    </row>
    <row r="218" spans="8:14" ht="12.75" x14ac:dyDescent="0.2">
      <c r="H218" s="200"/>
      <c r="K218" s="200"/>
      <c r="N218" s="200"/>
    </row>
    <row r="219" spans="8:14" ht="12.75" x14ac:dyDescent="0.2">
      <c r="H219" s="200"/>
      <c r="K219" s="200"/>
      <c r="N219" s="200"/>
    </row>
    <row r="220" spans="8:14" ht="12.75" x14ac:dyDescent="0.2">
      <c r="H220" s="200"/>
      <c r="K220" s="200"/>
      <c r="N220" s="200"/>
    </row>
    <row r="221" spans="8:14" ht="12.75" x14ac:dyDescent="0.2">
      <c r="H221" s="200"/>
      <c r="K221" s="200"/>
      <c r="N221" s="200"/>
    </row>
    <row r="222" spans="8:14" ht="12.75" x14ac:dyDescent="0.2">
      <c r="H222" s="200"/>
      <c r="K222" s="200"/>
      <c r="N222" s="200"/>
    </row>
    <row r="223" spans="8:14" ht="12.75" x14ac:dyDescent="0.2">
      <c r="H223" s="200"/>
      <c r="K223" s="200"/>
      <c r="N223" s="200"/>
    </row>
    <row r="224" spans="8:14" ht="12.75" x14ac:dyDescent="0.2">
      <c r="H224" s="200"/>
      <c r="K224" s="200"/>
      <c r="N224" s="200"/>
    </row>
    <row r="225" spans="8:14" ht="12.75" x14ac:dyDescent="0.2">
      <c r="H225" s="200"/>
      <c r="K225" s="200"/>
      <c r="N225" s="200"/>
    </row>
    <row r="226" spans="8:14" ht="12.75" x14ac:dyDescent="0.2">
      <c r="H226" s="200"/>
      <c r="K226" s="200"/>
      <c r="N226" s="200"/>
    </row>
    <row r="227" spans="8:14" ht="12.75" x14ac:dyDescent="0.2">
      <c r="H227" s="200"/>
      <c r="K227" s="200"/>
      <c r="N227" s="200"/>
    </row>
    <row r="228" spans="8:14" ht="12.75" x14ac:dyDescent="0.2">
      <c r="H228" s="200"/>
      <c r="K228" s="200"/>
      <c r="N228" s="200"/>
    </row>
    <row r="229" spans="8:14" ht="12.75" x14ac:dyDescent="0.2">
      <c r="H229" s="200"/>
      <c r="K229" s="200"/>
      <c r="N229" s="200"/>
    </row>
    <row r="230" spans="8:14" ht="12.75" x14ac:dyDescent="0.2">
      <c r="H230" s="200"/>
      <c r="K230" s="200"/>
      <c r="N230" s="200"/>
    </row>
    <row r="231" spans="8:14" ht="12.75" x14ac:dyDescent="0.2">
      <c r="H231" s="200"/>
      <c r="K231" s="200"/>
      <c r="N231" s="200"/>
    </row>
    <row r="232" spans="8:14" ht="12.75" x14ac:dyDescent="0.2">
      <c r="H232" s="200"/>
      <c r="K232" s="200"/>
      <c r="N232" s="200"/>
    </row>
    <row r="233" spans="8:14" ht="12.75" x14ac:dyDescent="0.2">
      <c r="H233" s="200"/>
      <c r="K233" s="200"/>
      <c r="N233" s="200"/>
    </row>
    <row r="234" spans="8:14" ht="12.75" x14ac:dyDescent="0.2">
      <c r="H234" s="200"/>
      <c r="K234" s="200"/>
      <c r="N234" s="200"/>
    </row>
    <row r="235" spans="8:14" ht="12.75" x14ac:dyDescent="0.2">
      <c r="H235" s="200"/>
      <c r="K235" s="200"/>
      <c r="N235" s="200"/>
    </row>
    <row r="236" spans="8:14" ht="12.75" x14ac:dyDescent="0.2">
      <c r="H236" s="200"/>
      <c r="K236" s="200"/>
      <c r="N236" s="200"/>
    </row>
    <row r="237" spans="8:14" ht="12.75" x14ac:dyDescent="0.2">
      <c r="H237" s="200"/>
      <c r="K237" s="200"/>
      <c r="N237" s="200"/>
    </row>
    <row r="238" spans="8:14" ht="12.75" x14ac:dyDescent="0.2">
      <c r="H238" s="200"/>
      <c r="K238" s="200"/>
      <c r="N238" s="200"/>
    </row>
    <row r="239" spans="8:14" ht="12.75" x14ac:dyDescent="0.2">
      <c r="H239" s="200"/>
      <c r="K239" s="200"/>
      <c r="N239" s="200"/>
    </row>
    <row r="240" spans="8:14" ht="12.75" x14ac:dyDescent="0.2">
      <c r="H240" s="200"/>
      <c r="K240" s="200"/>
      <c r="N240" s="200"/>
    </row>
    <row r="241" spans="8:14" ht="12.75" x14ac:dyDescent="0.2">
      <c r="H241" s="200"/>
      <c r="K241" s="200"/>
      <c r="N241" s="200"/>
    </row>
    <row r="242" spans="8:14" ht="12.75" x14ac:dyDescent="0.2">
      <c r="H242" s="200"/>
      <c r="K242" s="200"/>
      <c r="N242" s="200"/>
    </row>
    <row r="243" spans="8:14" ht="12.75" x14ac:dyDescent="0.2">
      <c r="H243" s="200"/>
      <c r="K243" s="200"/>
      <c r="N243" s="200"/>
    </row>
    <row r="244" spans="8:14" ht="12.75" x14ac:dyDescent="0.2">
      <c r="H244" s="200"/>
      <c r="K244" s="200"/>
      <c r="N244" s="200"/>
    </row>
    <row r="245" spans="8:14" ht="12.75" x14ac:dyDescent="0.2">
      <c r="H245" s="200"/>
      <c r="K245" s="200"/>
      <c r="N245" s="200"/>
    </row>
    <row r="246" spans="8:14" ht="12.75" x14ac:dyDescent="0.2">
      <c r="H246" s="200"/>
      <c r="K246" s="200"/>
      <c r="N246" s="200"/>
    </row>
    <row r="247" spans="8:14" ht="12.75" x14ac:dyDescent="0.2">
      <c r="H247" s="200"/>
      <c r="K247" s="200"/>
      <c r="N247" s="200"/>
    </row>
    <row r="248" spans="8:14" ht="12.75" x14ac:dyDescent="0.2">
      <c r="H248" s="200"/>
      <c r="K248" s="200"/>
      <c r="N248" s="200"/>
    </row>
    <row r="249" spans="8:14" ht="12.75" x14ac:dyDescent="0.2">
      <c r="H249" s="200"/>
      <c r="K249" s="200"/>
      <c r="N249" s="200"/>
    </row>
    <row r="250" spans="8:14" ht="12.75" x14ac:dyDescent="0.2">
      <c r="H250" s="200"/>
      <c r="K250" s="200"/>
      <c r="N250" s="200"/>
    </row>
    <row r="251" spans="8:14" ht="12.75" x14ac:dyDescent="0.2">
      <c r="H251" s="200"/>
      <c r="K251" s="200"/>
      <c r="N251" s="200"/>
    </row>
    <row r="252" spans="8:14" ht="12.75" x14ac:dyDescent="0.2">
      <c r="H252" s="200"/>
      <c r="K252" s="200"/>
      <c r="N252" s="200"/>
    </row>
    <row r="253" spans="8:14" ht="12.75" x14ac:dyDescent="0.2">
      <c r="H253" s="200"/>
      <c r="K253" s="200"/>
      <c r="N253" s="200"/>
    </row>
    <row r="254" spans="8:14" ht="12.75" x14ac:dyDescent="0.2">
      <c r="H254" s="200"/>
      <c r="K254" s="200"/>
      <c r="N254" s="200"/>
    </row>
    <row r="255" spans="8:14" ht="12.75" x14ac:dyDescent="0.2">
      <c r="H255" s="200"/>
      <c r="K255" s="200"/>
      <c r="N255" s="200"/>
    </row>
    <row r="256" spans="8:14" ht="12.75" x14ac:dyDescent="0.2">
      <c r="H256" s="200"/>
      <c r="K256" s="200"/>
      <c r="N256" s="200"/>
    </row>
    <row r="257" spans="8:14" ht="12.75" x14ac:dyDescent="0.2">
      <c r="H257" s="200"/>
      <c r="K257" s="200"/>
      <c r="N257" s="200"/>
    </row>
    <row r="258" spans="8:14" ht="12.75" x14ac:dyDescent="0.2">
      <c r="H258" s="200"/>
      <c r="K258" s="200"/>
      <c r="N258" s="200"/>
    </row>
    <row r="259" spans="8:14" ht="12.75" x14ac:dyDescent="0.2">
      <c r="H259" s="200"/>
      <c r="K259" s="200"/>
      <c r="N259" s="200"/>
    </row>
    <row r="260" spans="8:14" ht="12.75" x14ac:dyDescent="0.2">
      <c r="H260" s="200"/>
      <c r="K260" s="200"/>
      <c r="N260" s="200"/>
    </row>
    <row r="261" spans="8:14" ht="12.75" x14ac:dyDescent="0.2">
      <c r="H261" s="200"/>
      <c r="K261" s="200"/>
      <c r="N261" s="200"/>
    </row>
    <row r="262" spans="8:14" ht="12.75" x14ac:dyDescent="0.2">
      <c r="H262" s="200"/>
      <c r="K262" s="200"/>
      <c r="N262" s="200"/>
    </row>
    <row r="263" spans="8:14" ht="12.75" x14ac:dyDescent="0.2">
      <c r="H263" s="200"/>
      <c r="K263" s="200"/>
      <c r="N263" s="200"/>
    </row>
    <row r="264" spans="8:14" ht="12.75" x14ac:dyDescent="0.2">
      <c r="H264" s="200"/>
      <c r="K264" s="200"/>
      <c r="N264" s="200"/>
    </row>
    <row r="265" spans="8:14" ht="12.75" x14ac:dyDescent="0.2">
      <c r="H265" s="200"/>
      <c r="K265" s="200"/>
      <c r="N265" s="200"/>
    </row>
    <row r="266" spans="8:14" ht="12.75" x14ac:dyDescent="0.2">
      <c r="H266" s="200"/>
      <c r="K266" s="200"/>
      <c r="N266" s="200"/>
    </row>
    <row r="267" spans="8:14" ht="12.75" x14ac:dyDescent="0.2">
      <c r="H267" s="200"/>
      <c r="K267" s="200"/>
      <c r="N267" s="200"/>
    </row>
    <row r="268" spans="8:14" ht="12.75" x14ac:dyDescent="0.2">
      <c r="H268" s="200"/>
      <c r="K268" s="200"/>
      <c r="N268" s="200"/>
    </row>
    <row r="269" spans="8:14" ht="12.75" x14ac:dyDescent="0.2">
      <c r="H269" s="200"/>
      <c r="K269" s="200"/>
      <c r="N269" s="200"/>
    </row>
    <row r="270" spans="8:14" ht="12.75" x14ac:dyDescent="0.2">
      <c r="H270" s="200"/>
      <c r="K270" s="200"/>
      <c r="N270" s="200"/>
    </row>
    <row r="271" spans="8:14" ht="12.75" x14ac:dyDescent="0.2">
      <c r="H271" s="200"/>
      <c r="K271" s="200"/>
      <c r="N271" s="200"/>
    </row>
    <row r="272" spans="8:14" ht="12.75" x14ac:dyDescent="0.2">
      <c r="H272" s="200"/>
      <c r="K272" s="200"/>
      <c r="N272" s="200"/>
    </row>
    <row r="273" spans="8:14" ht="12.75" x14ac:dyDescent="0.2">
      <c r="H273" s="200"/>
      <c r="K273" s="200"/>
      <c r="N273" s="200"/>
    </row>
    <row r="274" spans="8:14" ht="12.75" x14ac:dyDescent="0.2">
      <c r="H274" s="200"/>
      <c r="K274" s="200"/>
      <c r="N274" s="200"/>
    </row>
    <row r="275" spans="8:14" ht="12.75" x14ac:dyDescent="0.2">
      <c r="H275" s="200"/>
      <c r="K275" s="200"/>
      <c r="N275" s="200"/>
    </row>
    <row r="276" spans="8:14" ht="12.75" x14ac:dyDescent="0.2">
      <c r="H276" s="200"/>
      <c r="K276" s="200"/>
      <c r="N276" s="200"/>
    </row>
    <row r="277" spans="8:14" ht="12.75" x14ac:dyDescent="0.2">
      <c r="H277" s="200"/>
      <c r="K277" s="200"/>
      <c r="N277" s="200"/>
    </row>
    <row r="278" spans="8:14" ht="12.75" x14ac:dyDescent="0.2">
      <c r="H278" s="200"/>
      <c r="K278" s="200"/>
      <c r="N278" s="200"/>
    </row>
    <row r="279" spans="8:14" ht="12.75" x14ac:dyDescent="0.2">
      <c r="H279" s="200"/>
      <c r="K279" s="200"/>
      <c r="N279" s="200"/>
    </row>
    <row r="280" spans="8:14" ht="12.75" x14ac:dyDescent="0.2">
      <c r="H280" s="200"/>
      <c r="K280" s="200"/>
      <c r="N280" s="200"/>
    </row>
    <row r="281" spans="8:14" ht="12.75" x14ac:dyDescent="0.2">
      <c r="H281" s="200"/>
      <c r="K281" s="200"/>
      <c r="N281" s="200"/>
    </row>
    <row r="282" spans="8:14" ht="12.75" x14ac:dyDescent="0.2">
      <c r="H282" s="200"/>
      <c r="K282" s="200"/>
      <c r="N282" s="200"/>
    </row>
    <row r="283" spans="8:14" ht="12.75" x14ac:dyDescent="0.2">
      <c r="H283" s="200"/>
      <c r="K283" s="200"/>
      <c r="N283" s="200"/>
    </row>
    <row r="284" spans="8:14" ht="12.75" x14ac:dyDescent="0.2">
      <c r="H284" s="200"/>
      <c r="K284" s="200"/>
      <c r="N284" s="200"/>
    </row>
    <row r="285" spans="8:14" ht="12.75" x14ac:dyDescent="0.2">
      <c r="H285" s="200"/>
      <c r="K285" s="200"/>
      <c r="N285" s="200"/>
    </row>
    <row r="286" spans="8:14" ht="12.75" x14ac:dyDescent="0.2">
      <c r="H286" s="200"/>
      <c r="K286" s="200"/>
      <c r="N286" s="200"/>
    </row>
    <row r="287" spans="8:14" ht="12.75" x14ac:dyDescent="0.2">
      <c r="H287" s="200"/>
      <c r="K287" s="200"/>
      <c r="N287" s="200"/>
    </row>
    <row r="288" spans="8:14" ht="12.75" x14ac:dyDescent="0.2">
      <c r="H288" s="200"/>
      <c r="K288" s="200"/>
      <c r="N288" s="200"/>
    </row>
    <row r="289" spans="8:14" ht="12.75" x14ac:dyDescent="0.2">
      <c r="H289" s="200"/>
      <c r="K289" s="200"/>
      <c r="N289" s="200"/>
    </row>
    <row r="290" spans="8:14" ht="12.75" x14ac:dyDescent="0.2">
      <c r="H290" s="200"/>
      <c r="K290" s="200"/>
      <c r="N290" s="200"/>
    </row>
    <row r="291" spans="8:14" ht="12.75" x14ac:dyDescent="0.2">
      <c r="H291" s="200"/>
      <c r="K291" s="200"/>
      <c r="N291" s="200"/>
    </row>
    <row r="292" spans="8:14" ht="12.75" x14ac:dyDescent="0.2">
      <c r="H292" s="200"/>
      <c r="K292" s="200"/>
      <c r="N292" s="200"/>
    </row>
    <row r="293" spans="8:14" ht="12.75" x14ac:dyDescent="0.2">
      <c r="H293" s="200"/>
      <c r="K293" s="200"/>
      <c r="N293" s="200"/>
    </row>
    <row r="294" spans="8:14" ht="12.75" x14ac:dyDescent="0.2">
      <c r="H294" s="200"/>
      <c r="K294" s="200"/>
      <c r="N294" s="200"/>
    </row>
    <row r="295" spans="8:14" ht="12.75" x14ac:dyDescent="0.2">
      <c r="H295" s="200"/>
      <c r="K295" s="200"/>
      <c r="N295" s="200"/>
    </row>
    <row r="296" spans="8:14" ht="12.75" x14ac:dyDescent="0.2">
      <c r="H296" s="200"/>
      <c r="K296" s="200"/>
      <c r="N296" s="200"/>
    </row>
    <row r="297" spans="8:14" ht="12.75" x14ac:dyDescent="0.2">
      <c r="H297" s="200"/>
      <c r="K297" s="200"/>
      <c r="N297" s="200"/>
    </row>
    <row r="298" spans="8:14" ht="12.75" x14ac:dyDescent="0.2">
      <c r="H298" s="200"/>
      <c r="K298" s="200"/>
      <c r="N298" s="200"/>
    </row>
    <row r="299" spans="8:14" ht="12.75" x14ac:dyDescent="0.2">
      <c r="H299" s="200"/>
      <c r="K299" s="200"/>
      <c r="N299" s="200"/>
    </row>
    <row r="300" spans="8:14" ht="12.75" x14ac:dyDescent="0.2">
      <c r="H300" s="200"/>
      <c r="K300" s="200"/>
      <c r="N300" s="200"/>
    </row>
    <row r="301" spans="8:14" ht="12.75" x14ac:dyDescent="0.2">
      <c r="H301" s="200"/>
      <c r="K301" s="200"/>
      <c r="N301" s="200"/>
    </row>
    <row r="302" spans="8:14" ht="12.75" x14ac:dyDescent="0.2">
      <c r="H302" s="200"/>
      <c r="K302" s="200"/>
      <c r="N302" s="200"/>
    </row>
    <row r="303" spans="8:14" ht="12.75" x14ac:dyDescent="0.2">
      <c r="H303" s="200"/>
      <c r="K303" s="200"/>
      <c r="N303" s="200"/>
    </row>
    <row r="304" spans="8:14" ht="12.75" x14ac:dyDescent="0.2">
      <c r="H304" s="200"/>
      <c r="K304" s="200"/>
      <c r="N304" s="200"/>
    </row>
    <row r="305" spans="8:14" ht="12.75" x14ac:dyDescent="0.2">
      <c r="H305" s="200"/>
      <c r="K305" s="200"/>
      <c r="N305" s="200"/>
    </row>
    <row r="306" spans="8:14" ht="12.75" x14ac:dyDescent="0.2">
      <c r="H306" s="200"/>
      <c r="K306" s="200"/>
      <c r="N306" s="200"/>
    </row>
    <row r="307" spans="8:14" ht="12.75" x14ac:dyDescent="0.2">
      <c r="H307" s="200"/>
      <c r="K307" s="200"/>
      <c r="N307" s="200"/>
    </row>
    <row r="308" spans="8:14" ht="12.75" x14ac:dyDescent="0.2">
      <c r="H308" s="200"/>
      <c r="K308" s="200"/>
      <c r="N308" s="200"/>
    </row>
    <row r="309" spans="8:14" ht="12.75" x14ac:dyDescent="0.2">
      <c r="H309" s="200"/>
      <c r="K309" s="200"/>
      <c r="N309" s="200"/>
    </row>
    <row r="310" spans="8:14" ht="12.75" x14ac:dyDescent="0.2">
      <c r="H310" s="200"/>
      <c r="K310" s="200"/>
      <c r="N310" s="200"/>
    </row>
    <row r="311" spans="8:14" ht="12.75" x14ac:dyDescent="0.2">
      <c r="H311" s="200"/>
      <c r="K311" s="200"/>
      <c r="N311" s="200"/>
    </row>
    <row r="312" spans="8:14" ht="12.75" x14ac:dyDescent="0.2">
      <c r="H312" s="200"/>
      <c r="K312" s="200"/>
      <c r="N312" s="200"/>
    </row>
    <row r="313" spans="8:14" ht="12.75" x14ac:dyDescent="0.2">
      <c r="H313" s="200"/>
      <c r="K313" s="200"/>
      <c r="N313" s="200"/>
    </row>
    <row r="314" spans="8:14" ht="12.75" x14ac:dyDescent="0.2">
      <c r="H314" s="200"/>
      <c r="K314" s="200"/>
      <c r="N314" s="200"/>
    </row>
    <row r="315" spans="8:14" ht="12.75" x14ac:dyDescent="0.2">
      <c r="H315" s="200"/>
      <c r="K315" s="200"/>
      <c r="N315" s="200"/>
    </row>
    <row r="316" spans="8:14" ht="12.75" x14ac:dyDescent="0.2">
      <c r="H316" s="200"/>
      <c r="K316" s="200"/>
      <c r="N316" s="200"/>
    </row>
    <row r="317" spans="8:14" ht="12.75" x14ac:dyDescent="0.2">
      <c r="H317" s="200"/>
      <c r="K317" s="200"/>
      <c r="N317" s="200"/>
    </row>
    <row r="318" spans="8:14" ht="12.75" x14ac:dyDescent="0.2">
      <c r="H318" s="200"/>
      <c r="K318" s="200"/>
      <c r="N318" s="200"/>
    </row>
    <row r="319" spans="8:14" ht="12.75" x14ac:dyDescent="0.2">
      <c r="H319" s="200"/>
      <c r="K319" s="200"/>
      <c r="N319" s="200"/>
    </row>
    <row r="320" spans="8:14" ht="12.75" x14ac:dyDescent="0.2">
      <c r="H320" s="200"/>
      <c r="K320" s="200"/>
      <c r="N320" s="200"/>
    </row>
    <row r="321" spans="8:14" ht="12.75" x14ac:dyDescent="0.2">
      <c r="H321" s="200"/>
      <c r="K321" s="200"/>
      <c r="N321" s="200"/>
    </row>
    <row r="322" spans="8:14" ht="12.75" x14ac:dyDescent="0.2">
      <c r="H322" s="200"/>
      <c r="K322" s="200"/>
      <c r="N322" s="200"/>
    </row>
    <row r="323" spans="8:14" ht="12.75" x14ac:dyDescent="0.2">
      <c r="H323" s="200"/>
      <c r="K323" s="200"/>
      <c r="N323" s="200"/>
    </row>
    <row r="324" spans="8:14" ht="12.75" x14ac:dyDescent="0.2">
      <c r="H324" s="200"/>
      <c r="K324" s="200"/>
      <c r="N324" s="200"/>
    </row>
    <row r="325" spans="8:14" ht="12.75" x14ac:dyDescent="0.2">
      <c r="H325" s="200"/>
      <c r="K325" s="200"/>
      <c r="N325" s="200"/>
    </row>
    <row r="326" spans="8:14" ht="12.75" x14ac:dyDescent="0.2">
      <c r="H326" s="200"/>
      <c r="K326" s="200"/>
      <c r="N326" s="200"/>
    </row>
    <row r="327" spans="8:14" ht="12.75" x14ac:dyDescent="0.2">
      <c r="H327" s="200"/>
      <c r="K327" s="200"/>
      <c r="N327" s="200"/>
    </row>
    <row r="328" spans="8:14" ht="12.75" x14ac:dyDescent="0.2">
      <c r="H328" s="200"/>
      <c r="K328" s="200"/>
      <c r="N328" s="200"/>
    </row>
    <row r="329" spans="8:14" ht="12.75" x14ac:dyDescent="0.2">
      <c r="H329" s="200"/>
      <c r="K329" s="200"/>
      <c r="N329" s="200"/>
    </row>
    <row r="330" spans="8:14" ht="12.75" x14ac:dyDescent="0.2">
      <c r="H330" s="200"/>
      <c r="K330" s="200"/>
      <c r="N330" s="200"/>
    </row>
    <row r="331" spans="8:14" ht="12.75" x14ac:dyDescent="0.2">
      <c r="H331" s="200"/>
      <c r="K331" s="200"/>
      <c r="N331" s="200"/>
    </row>
    <row r="332" spans="8:14" ht="12.75" x14ac:dyDescent="0.2">
      <c r="H332" s="200"/>
      <c r="K332" s="200"/>
      <c r="N332" s="200"/>
    </row>
    <row r="333" spans="8:14" ht="12.75" x14ac:dyDescent="0.2">
      <c r="H333" s="200"/>
      <c r="K333" s="200"/>
      <c r="N333" s="200"/>
    </row>
    <row r="334" spans="8:14" ht="12.75" x14ac:dyDescent="0.2">
      <c r="H334" s="200"/>
      <c r="K334" s="200"/>
      <c r="N334" s="200"/>
    </row>
    <row r="335" spans="8:14" ht="12.75" x14ac:dyDescent="0.2">
      <c r="H335" s="200"/>
      <c r="K335" s="200"/>
      <c r="N335" s="200"/>
    </row>
    <row r="336" spans="8:14" ht="12.75" x14ac:dyDescent="0.2">
      <c r="H336" s="200"/>
      <c r="K336" s="200"/>
      <c r="N336" s="200"/>
    </row>
    <row r="337" spans="8:14" ht="12.75" x14ac:dyDescent="0.2">
      <c r="H337" s="200"/>
      <c r="K337" s="200"/>
      <c r="N337" s="200"/>
    </row>
    <row r="338" spans="8:14" ht="12.75" x14ac:dyDescent="0.2">
      <c r="H338" s="200"/>
      <c r="K338" s="200"/>
      <c r="N338" s="200"/>
    </row>
    <row r="339" spans="8:14" ht="12.75" x14ac:dyDescent="0.2">
      <c r="H339" s="200"/>
      <c r="K339" s="200"/>
      <c r="N339" s="200"/>
    </row>
    <row r="340" spans="8:14" ht="12.75" x14ac:dyDescent="0.2">
      <c r="H340" s="200"/>
      <c r="K340" s="200"/>
      <c r="N340" s="200"/>
    </row>
    <row r="341" spans="8:14" ht="12.75" x14ac:dyDescent="0.2">
      <c r="H341" s="200"/>
      <c r="K341" s="200"/>
      <c r="N341" s="200"/>
    </row>
    <row r="342" spans="8:14" ht="12.75" x14ac:dyDescent="0.2">
      <c r="H342" s="200"/>
      <c r="K342" s="200"/>
      <c r="N342" s="200"/>
    </row>
    <row r="343" spans="8:14" ht="12.75" x14ac:dyDescent="0.2">
      <c r="H343" s="200"/>
      <c r="K343" s="200"/>
      <c r="N343" s="200"/>
    </row>
    <row r="344" spans="8:14" ht="12.75" x14ac:dyDescent="0.2">
      <c r="H344" s="200"/>
      <c r="K344" s="200"/>
      <c r="N344" s="200"/>
    </row>
    <row r="345" spans="8:14" ht="12.75" x14ac:dyDescent="0.2">
      <c r="H345" s="200"/>
      <c r="K345" s="200"/>
      <c r="N345" s="200"/>
    </row>
    <row r="346" spans="8:14" ht="12.75" x14ac:dyDescent="0.2">
      <c r="H346" s="200"/>
      <c r="K346" s="200"/>
      <c r="N346" s="200"/>
    </row>
    <row r="347" spans="8:14" ht="12.75" x14ac:dyDescent="0.2">
      <c r="H347" s="200"/>
      <c r="K347" s="200"/>
      <c r="N347" s="200"/>
    </row>
    <row r="348" spans="8:14" ht="12.75" x14ac:dyDescent="0.2">
      <c r="H348" s="200"/>
      <c r="K348" s="200"/>
      <c r="N348" s="200"/>
    </row>
    <row r="349" spans="8:14" ht="12.75" x14ac:dyDescent="0.2">
      <c r="H349" s="200"/>
      <c r="K349" s="200"/>
      <c r="N349" s="200"/>
    </row>
    <row r="350" spans="8:14" ht="12.75" x14ac:dyDescent="0.2">
      <c r="H350" s="200"/>
      <c r="K350" s="200"/>
      <c r="N350" s="200"/>
    </row>
    <row r="351" spans="8:14" ht="12.75" x14ac:dyDescent="0.2">
      <c r="H351" s="200"/>
      <c r="K351" s="200"/>
      <c r="N351" s="200"/>
    </row>
    <row r="352" spans="8:14" ht="12.75" x14ac:dyDescent="0.2">
      <c r="H352" s="200"/>
      <c r="K352" s="200"/>
      <c r="N352" s="200"/>
    </row>
    <row r="353" spans="8:14" ht="12.75" x14ac:dyDescent="0.2">
      <c r="H353" s="200"/>
      <c r="K353" s="200"/>
      <c r="N353" s="200"/>
    </row>
    <row r="354" spans="8:14" ht="12.75" x14ac:dyDescent="0.2">
      <c r="H354" s="200"/>
      <c r="K354" s="200"/>
      <c r="N354" s="200"/>
    </row>
    <row r="355" spans="8:14" ht="12.75" x14ac:dyDescent="0.2">
      <c r="H355" s="200"/>
      <c r="K355" s="200"/>
      <c r="N355" s="200"/>
    </row>
    <row r="356" spans="8:14" ht="12.75" x14ac:dyDescent="0.2">
      <c r="H356" s="200"/>
      <c r="K356" s="200"/>
      <c r="N356" s="200"/>
    </row>
    <row r="357" spans="8:14" ht="12.75" x14ac:dyDescent="0.2">
      <c r="H357" s="200"/>
      <c r="K357" s="200"/>
      <c r="N357" s="200"/>
    </row>
    <row r="358" spans="8:14" ht="12.75" x14ac:dyDescent="0.2">
      <c r="H358" s="200"/>
      <c r="K358" s="200"/>
      <c r="N358" s="200"/>
    </row>
    <row r="359" spans="8:14" ht="12.75" x14ac:dyDescent="0.2">
      <c r="H359" s="200"/>
      <c r="K359" s="200"/>
      <c r="N359" s="200"/>
    </row>
    <row r="360" spans="8:14" ht="12.75" x14ac:dyDescent="0.2">
      <c r="H360" s="200"/>
      <c r="K360" s="200"/>
      <c r="N360" s="200"/>
    </row>
    <row r="361" spans="8:14" ht="12.75" x14ac:dyDescent="0.2">
      <c r="H361" s="200"/>
      <c r="K361" s="200"/>
      <c r="N361" s="200"/>
    </row>
    <row r="362" spans="8:14" ht="12.75" x14ac:dyDescent="0.2">
      <c r="H362" s="200"/>
      <c r="K362" s="200"/>
      <c r="N362" s="200"/>
    </row>
    <row r="363" spans="8:14" ht="12.75" x14ac:dyDescent="0.2">
      <c r="H363" s="200"/>
      <c r="K363" s="200"/>
      <c r="N363" s="200"/>
    </row>
    <row r="364" spans="8:14" ht="12.75" x14ac:dyDescent="0.2">
      <c r="H364" s="200"/>
      <c r="K364" s="200"/>
      <c r="N364" s="200"/>
    </row>
    <row r="365" spans="8:14" ht="12.75" x14ac:dyDescent="0.2">
      <c r="H365" s="200"/>
      <c r="K365" s="200"/>
      <c r="N365" s="200"/>
    </row>
    <row r="366" spans="8:14" ht="12.75" x14ac:dyDescent="0.2">
      <c r="H366" s="200"/>
      <c r="K366" s="200"/>
      <c r="N366" s="200"/>
    </row>
    <row r="367" spans="8:14" ht="12.75" x14ac:dyDescent="0.2">
      <c r="H367" s="200"/>
      <c r="K367" s="200"/>
      <c r="N367" s="200"/>
    </row>
    <row r="368" spans="8:14" ht="12.75" x14ac:dyDescent="0.2">
      <c r="H368" s="200"/>
      <c r="K368" s="200"/>
      <c r="N368" s="200"/>
    </row>
    <row r="369" spans="8:14" ht="12.75" x14ac:dyDescent="0.2">
      <c r="H369" s="200"/>
      <c r="K369" s="200"/>
      <c r="N369" s="200"/>
    </row>
    <row r="370" spans="8:14" ht="12.75" x14ac:dyDescent="0.2">
      <c r="H370" s="200"/>
      <c r="K370" s="200"/>
      <c r="N370" s="200"/>
    </row>
    <row r="371" spans="8:14" ht="12.75" x14ac:dyDescent="0.2">
      <c r="H371" s="200"/>
      <c r="K371" s="200"/>
      <c r="N371" s="200"/>
    </row>
    <row r="372" spans="8:14" ht="12.75" x14ac:dyDescent="0.2">
      <c r="H372" s="200"/>
      <c r="K372" s="200"/>
      <c r="N372" s="200"/>
    </row>
    <row r="373" spans="8:14" ht="12.75" x14ac:dyDescent="0.2">
      <c r="H373" s="200"/>
      <c r="K373" s="200"/>
      <c r="N373" s="200"/>
    </row>
    <row r="374" spans="8:14" ht="12.75" x14ac:dyDescent="0.2">
      <c r="H374" s="200"/>
      <c r="K374" s="200"/>
      <c r="N374" s="200"/>
    </row>
    <row r="375" spans="8:14" ht="12.75" x14ac:dyDescent="0.2">
      <c r="H375" s="200"/>
      <c r="K375" s="200"/>
      <c r="N375" s="200"/>
    </row>
    <row r="376" spans="8:14" ht="12.75" x14ac:dyDescent="0.2">
      <c r="H376" s="200"/>
      <c r="K376" s="200"/>
      <c r="N376" s="200"/>
    </row>
    <row r="377" spans="8:14" ht="12.75" x14ac:dyDescent="0.2">
      <c r="H377" s="200"/>
      <c r="K377" s="200"/>
      <c r="N377" s="200"/>
    </row>
    <row r="378" spans="8:14" ht="12.75" x14ac:dyDescent="0.2">
      <c r="H378" s="200"/>
      <c r="K378" s="200"/>
      <c r="N378" s="200"/>
    </row>
    <row r="379" spans="8:14" ht="12.75" x14ac:dyDescent="0.2">
      <c r="H379" s="200"/>
      <c r="K379" s="200"/>
      <c r="N379" s="200"/>
    </row>
    <row r="380" spans="8:14" ht="12.75" x14ac:dyDescent="0.2">
      <c r="H380" s="200"/>
      <c r="K380" s="200"/>
      <c r="N380" s="200"/>
    </row>
    <row r="381" spans="8:14" ht="12.75" x14ac:dyDescent="0.2">
      <c r="H381" s="200"/>
      <c r="K381" s="200"/>
      <c r="N381" s="200"/>
    </row>
    <row r="382" spans="8:14" ht="12.75" x14ac:dyDescent="0.2">
      <c r="H382" s="200"/>
      <c r="K382" s="200"/>
      <c r="N382" s="200"/>
    </row>
    <row r="383" spans="8:14" ht="12.75" x14ac:dyDescent="0.2">
      <c r="H383" s="200"/>
      <c r="K383" s="200"/>
      <c r="N383" s="200"/>
    </row>
    <row r="384" spans="8:14" ht="12.75" x14ac:dyDescent="0.2">
      <c r="H384" s="200"/>
      <c r="K384" s="200"/>
      <c r="N384" s="200"/>
    </row>
    <row r="385" spans="8:14" ht="12.75" x14ac:dyDescent="0.2">
      <c r="H385" s="200"/>
      <c r="K385" s="200"/>
      <c r="N385" s="200"/>
    </row>
    <row r="386" spans="8:14" ht="12.75" x14ac:dyDescent="0.2">
      <c r="H386" s="200"/>
      <c r="K386" s="200"/>
      <c r="N386" s="200"/>
    </row>
    <row r="387" spans="8:14" ht="12.75" x14ac:dyDescent="0.2">
      <c r="H387" s="200"/>
      <c r="K387" s="200"/>
      <c r="N387" s="200"/>
    </row>
    <row r="388" spans="8:14" ht="12.75" x14ac:dyDescent="0.2">
      <c r="H388" s="200"/>
      <c r="K388" s="200"/>
      <c r="N388" s="200"/>
    </row>
    <row r="389" spans="8:14" ht="12.75" x14ac:dyDescent="0.2">
      <c r="H389" s="200"/>
      <c r="K389" s="200"/>
      <c r="N389" s="200"/>
    </row>
    <row r="390" spans="8:14" ht="12.75" x14ac:dyDescent="0.2">
      <c r="H390" s="200"/>
      <c r="K390" s="200"/>
      <c r="N390" s="200"/>
    </row>
    <row r="391" spans="8:14" ht="12.75" x14ac:dyDescent="0.2">
      <c r="H391" s="200"/>
      <c r="K391" s="200"/>
      <c r="N391" s="200"/>
    </row>
    <row r="392" spans="8:14" ht="12.75" x14ac:dyDescent="0.2">
      <c r="H392" s="200"/>
      <c r="K392" s="200"/>
      <c r="N392" s="200"/>
    </row>
    <row r="393" spans="8:14" ht="12.75" x14ac:dyDescent="0.2">
      <c r="H393" s="200"/>
      <c r="K393" s="200"/>
      <c r="N393" s="200"/>
    </row>
    <row r="394" spans="8:14" ht="12.75" x14ac:dyDescent="0.2">
      <c r="H394" s="200"/>
      <c r="K394" s="200"/>
      <c r="N394" s="200"/>
    </row>
    <row r="395" spans="8:14" ht="12.75" x14ac:dyDescent="0.2">
      <c r="H395" s="200"/>
      <c r="K395" s="200"/>
      <c r="N395" s="200"/>
    </row>
    <row r="396" spans="8:14" ht="12.75" x14ac:dyDescent="0.2">
      <c r="H396" s="200"/>
      <c r="K396" s="200"/>
      <c r="N396" s="200"/>
    </row>
    <row r="397" spans="8:14" ht="12.75" x14ac:dyDescent="0.2">
      <c r="H397" s="200"/>
      <c r="K397" s="200"/>
      <c r="N397" s="200"/>
    </row>
    <row r="398" spans="8:14" ht="12.75" x14ac:dyDescent="0.2">
      <c r="H398" s="200"/>
      <c r="K398" s="200"/>
      <c r="N398" s="200"/>
    </row>
    <row r="399" spans="8:14" ht="12.75" x14ac:dyDescent="0.2">
      <c r="H399" s="200"/>
      <c r="K399" s="200"/>
      <c r="N399" s="200"/>
    </row>
    <row r="400" spans="8:14" ht="12.75" x14ac:dyDescent="0.2">
      <c r="H400" s="200"/>
      <c r="K400" s="200"/>
      <c r="N400" s="200"/>
    </row>
    <row r="401" spans="8:14" ht="12.75" x14ac:dyDescent="0.2">
      <c r="H401" s="200"/>
      <c r="K401" s="200"/>
      <c r="N401" s="200"/>
    </row>
    <row r="402" spans="8:14" ht="12.75" x14ac:dyDescent="0.2">
      <c r="H402" s="200"/>
      <c r="K402" s="200"/>
      <c r="N402" s="200"/>
    </row>
    <row r="403" spans="8:14" ht="12.75" x14ac:dyDescent="0.2">
      <c r="H403" s="200"/>
      <c r="K403" s="200"/>
      <c r="N403" s="200"/>
    </row>
    <row r="404" spans="8:14" ht="12.75" x14ac:dyDescent="0.2">
      <c r="H404" s="200"/>
      <c r="K404" s="200"/>
      <c r="N404" s="200"/>
    </row>
    <row r="405" spans="8:14" ht="12.75" x14ac:dyDescent="0.2">
      <c r="H405" s="200"/>
      <c r="K405" s="200"/>
      <c r="N405" s="200"/>
    </row>
    <row r="406" spans="8:14" ht="12.75" x14ac:dyDescent="0.2">
      <c r="H406" s="200"/>
      <c r="K406" s="200"/>
      <c r="N406" s="200"/>
    </row>
    <row r="407" spans="8:14" ht="12.75" x14ac:dyDescent="0.2">
      <c r="H407" s="200"/>
      <c r="K407" s="200"/>
      <c r="N407" s="200"/>
    </row>
    <row r="408" spans="8:14" ht="12.75" x14ac:dyDescent="0.2">
      <c r="H408" s="200"/>
      <c r="K408" s="200"/>
      <c r="N408" s="200"/>
    </row>
    <row r="409" spans="8:14" ht="12.75" x14ac:dyDescent="0.2">
      <c r="H409" s="200"/>
      <c r="K409" s="200"/>
      <c r="N409" s="200"/>
    </row>
    <row r="410" spans="8:14" ht="12.75" x14ac:dyDescent="0.2">
      <c r="H410" s="200"/>
      <c r="K410" s="200"/>
      <c r="N410" s="200"/>
    </row>
    <row r="411" spans="8:14" ht="12.75" x14ac:dyDescent="0.2">
      <c r="H411" s="200"/>
      <c r="K411" s="200"/>
      <c r="N411" s="200"/>
    </row>
    <row r="412" spans="8:14" ht="12.75" x14ac:dyDescent="0.2">
      <c r="H412" s="200"/>
      <c r="K412" s="200"/>
      <c r="N412" s="200"/>
    </row>
    <row r="413" spans="8:14" ht="12.75" x14ac:dyDescent="0.2">
      <c r="H413" s="200"/>
      <c r="K413" s="200"/>
      <c r="N413" s="200"/>
    </row>
    <row r="414" spans="8:14" ht="12.75" x14ac:dyDescent="0.2">
      <c r="H414" s="200"/>
      <c r="K414" s="200"/>
      <c r="N414" s="200"/>
    </row>
    <row r="415" spans="8:14" ht="12.75" x14ac:dyDescent="0.2">
      <c r="H415" s="200"/>
      <c r="K415" s="200"/>
      <c r="N415" s="200"/>
    </row>
    <row r="416" spans="8:14" ht="12.75" x14ac:dyDescent="0.2">
      <c r="H416" s="200"/>
      <c r="K416" s="200"/>
      <c r="N416" s="200"/>
    </row>
    <row r="417" spans="8:14" ht="12.75" x14ac:dyDescent="0.2">
      <c r="H417" s="200"/>
      <c r="K417" s="200"/>
      <c r="N417" s="200"/>
    </row>
    <row r="418" spans="8:14" ht="12.75" x14ac:dyDescent="0.2">
      <c r="H418" s="200"/>
      <c r="K418" s="200"/>
      <c r="N418" s="200"/>
    </row>
    <row r="419" spans="8:14" ht="12.75" x14ac:dyDescent="0.2">
      <c r="H419" s="200"/>
      <c r="K419" s="200"/>
      <c r="N419" s="200"/>
    </row>
    <row r="420" spans="8:14" ht="12.75" x14ac:dyDescent="0.2">
      <c r="H420" s="200"/>
      <c r="K420" s="200"/>
      <c r="N420" s="200"/>
    </row>
    <row r="421" spans="8:14" ht="12.75" x14ac:dyDescent="0.2">
      <c r="H421" s="200"/>
      <c r="K421" s="200"/>
      <c r="N421" s="200"/>
    </row>
    <row r="422" spans="8:14" ht="12.75" x14ac:dyDescent="0.2">
      <c r="H422" s="200"/>
      <c r="K422" s="200"/>
      <c r="N422" s="200"/>
    </row>
    <row r="423" spans="8:14" ht="12.75" x14ac:dyDescent="0.2">
      <c r="H423" s="200"/>
      <c r="K423" s="200"/>
      <c r="N423" s="200"/>
    </row>
    <row r="424" spans="8:14" ht="12.75" x14ac:dyDescent="0.2">
      <c r="H424" s="200"/>
      <c r="K424" s="200"/>
      <c r="N424" s="200"/>
    </row>
    <row r="425" spans="8:14" ht="12.75" x14ac:dyDescent="0.2">
      <c r="H425" s="200"/>
      <c r="K425" s="200"/>
      <c r="N425" s="200"/>
    </row>
    <row r="426" spans="8:14" ht="12.75" x14ac:dyDescent="0.2">
      <c r="H426" s="200"/>
      <c r="K426" s="200"/>
      <c r="N426" s="200"/>
    </row>
    <row r="427" spans="8:14" ht="12.75" x14ac:dyDescent="0.2">
      <c r="H427" s="200"/>
      <c r="K427" s="200"/>
      <c r="N427" s="200"/>
    </row>
    <row r="428" spans="8:14" ht="12.75" x14ac:dyDescent="0.2">
      <c r="H428" s="200"/>
      <c r="K428" s="200"/>
      <c r="N428" s="200"/>
    </row>
    <row r="429" spans="8:14" ht="12.75" x14ac:dyDescent="0.2">
      <c r="H429" s="200"/>
      <c r="K429" s="200"/>
      <c r="N429" s="200"/>
    </row>
    <row r="430" spans="8:14" ht="12.75" x14ac:dyDescent="0.2">
      <c r="H430" s="200"/>
      <c r="K430" s="200"/>
      <c r="N430" s="200"/>
    </row>
    <row r="431" spans="8:14" ht="12.75" x14ac:dyDescent="0.2">
      <c r="H431" s="200"/>
      <c r="K431" s="200"/>
      <c r="N431" s="200"/>
    </row>
    <row r="432" spans="8:14" ht="12.75" x14ac:dyDescent="0.2">
      <c r="H432" s="200"/>
      <c r="K432" s="200"/>
      <c r="N432" s="200"/>
    </row>
    <row r="433" spans="8:14" ht="12.75" x14ac:dyDescent="0.2">
      <c r="H433" s="200"/>
      <c r="K433" s="200"/>
      <c r="N433" s="200"/>
    </row>
    <row r="434" spans="8:14" ht="12.75" x14ac:dyDescent="0.2">
      <c r="H434" s="200"/>
      <c r="K434" s="200"/>
      <c r="N434" s="200"/>
    </row>
    <row r="435" spans="8:14" ht="12.75" x14ac:dyDescent="0.2">
      <c r="H435" s="200"/>
      <c r="K435" s="200"/>
      <c r="N435" s="200"/>
    </row>
    <row r="436" spans="8:14" ht="12.75" x14ac:dyDescent="0.2">
      <c r="H436" s="200"/>
      <c r="K436" s="200"/>
      <c r="N436" s="200"/>
    </row>
    <row r="437" spans="8:14" ht="12.75" x14ac:dyDescent="0.2">
      <c r="H437" s="200"/>
      <c r="K437" s="200"/>
      <c r="N437" s="200"/>
    </row>
    <row r="438" spans="8:14" ht="12.75" x14ac:dyDescent="0.2">
      <c r="H438" s="200"/>
      <c r="K438" s="200"/>
      <c r="N438" s="200"/>
    </row>
    <row r="439" spans="8:14" ht="12.75" x14ac:dyDescent="0.2">
      <c r="H439" s="200"/>
      <c r="K439" s="200"/>
      <c r="N439" s="200"/>
    </row>
    <row r="440" spans="8:14" ht="12.75" x14ac:dyDescent="0.2">
      <c r="H440" s="200"/>
      <c r="K440" s="200"/>
      <c r="N440" s="200"/>
    </row>
    <row r="441" spans="8:14" ht="12.75" x14ac:dyDescent="0.2">
      <c r="H441" s="200"/>
      <c r="K441" s="200"/>
      <c r="N441" s="200"/>
    </row>
    <row r="442" spans="8:14" ht="12.75" x14ac:dyDescent="0.2">
      <c r="H442" s="200"/>
      <c r="K442" s="200"/>
      <c r="N442" s="200"/>
    </row>
    <row r="443" spans="8:14" ht="12.75" x14ac:dyDescent="0.2">
      <c r="H443" s="200"/>
      <c r="K443" s="200"/>
      <c r="N443" s="200"/>
    </row>
    <row r="444" spans="8:14" ht="12.75" x14ac:dyDescent="0.2">
      <c r="H444" s="200"/>
      <c r="K444" s="200"/>
      <c r="N444" s="200"/>
    </row>
    <row r="445" spans="8:14" ht="12.75" x14ac:dyDescent="0.2">
      <c r="H445" s="200"/>
      <c r="K445" s="200"/>
      <c r="N445" s="200"/>
    </row>
    <row r="446" spans="8:14" ht="12.75" x14ac:dyDescent="0.2">
      <c r="H446" s="200"/>
      <c r="K446" s="200"/>
      <c r="N446" s="200"/>
    </row>
    <row r="447" spans="8:14" ht="12.75" x14ac:dyDescent="0.2">
      <c r="H447" s="200"/>
      <c r="K447" s="200"/>
      <c r="N447" s="200"/>
    </row>
    <row r="448" spans="8:14" ht="12.75" x14ac:dyDescent="0.2">
      <c r="H448" s="200"/>
      <c r="K448" s="200"/>
      <c r="N448" s="200"/>
    </row>
    <row r="449" spans="8:14" ht="12.75" x14ac:dyDescent="0.2">
      <c r="H449" s="200"/>
      <c r="K449" s="200"/>
      <c r="N449" s="200"/>
    </row>
    <row r="450" spans="8:14" ht="12.75" x14ac:dyDescent="0.2">
      <c r="H450" s="200"/>
      <c r="K450" s="200"/>
      <c r="N450" s="200"/>
    </row>
    <row r="451" spans="8:14" ht="12.75" x14ac:dyDescent="0.2">
      <c r="H451" s="200"/>
      <c r="K451" s="200"/>
      <c r="N451" s="200"/>
    </row>
    <row r="452" spans="8:14" ht="12.75" x14ac:dyDescent="0.2">
      <c r="H452" s="200"/>
      <c r="K452" s="200"/>
      <c r="N452" s="200"/>
    </row>
    <row r="453" spans="8:14" ht="12.75" x14ac:dyDescent="0.2">
      <c r="H453" s="200"/>
      <c r="K453" s="200"/>
      <c r="N453" s="200"/>
    </row>
    <row r="454" spans="8:14" ht="12.75" x14ac:dyDescent="0.2">
      <c r="H454" s="200"/>
      <c r="K454" s="200"/>
      <c r="N454" s="200"/>
    </row>
    <row r="455" spans="8:14" ht="12.75" x14ac:dyDescent="0.2">
      <c r="H455" s="200"/>
      <c r="K455" s="200"/>
      <c r="N455" s="200"/>
    </row>
    <row r="456" spans="8:14" ht="12.75" x14ac:dyDescent="0.2">
      <c r="H456" s="200"/>
      <c r="K456" s="200"/>
      <c r="N456" s="200"/>
    </row>
    <row r="457" spans="8:14" ht="12.75" x14ac:dyDescent="0.2">
      <c r="H457" s="200"/>
      <c r="K457" s="200"/>
      <c r="N457" s="200"/>
    </row>
    <row r="458" spans="8:14" ht="12.75" x14ac:dyDescent="0.2">
      <c r="H458" s="200"/>
      <c r="K458" s="200"/>
      <c r="N458" s="200"/>
    </row>
    <row r="459" spans="8:14" ht="12.75" x14ac:dyDescent="0.2">
      <c r="H459" s="200"/>
      <c r="K459" s="200"/>
      <c r="N459" s="200"/>
    </row>
    <row r="460" spans="8:14" ht="12.75" x14ac:dyDescent="0.2">
      <c r="H460" s="200"/>
      <c r="K460" s="200"/>
      <c r="N460" s="200"/>
    </row>
    <row r="461" spans="8:14" ht="12.75" x14ac:dyDescent="0.2">
      <c r="H461" s="200"/>
      <c r="K461" s="200"/>
      <c r="N461" s="200"/>
    </row>
    <row r="462" spans="8:14" ht="12.75" x14ac:dyDescent="0.2">
      <c r="H462" s="200"/>
      <c r="K462" s="200"/>
      <c r="N462" s="200"/>
    </row>
    <row r="463" spans="8:14" ht="12.75" x14ac:dyDescent="0.2">
      <c r="H463" s="200"/>
      <c r="K463" s="200"/>
      <c r="N463" s="200"/>
    </row>
    <row r="464" spans="8:14" ht="12.75" x14ac:dyDescent="0.2">
      <c r="H464" s="200"/>
      <c r="K464" s="200"/>
      <c r="N464" s="200"/>
    </row>
    <row r="465" spans="8:14" ht="12.75" x14ac:dyDescent="0.2">
      <c r="H465" s="200"/>
      <c r="K465" s="200"/>
      <c r="N465" s="200"/>
    </row>
    <row r="466" spans="8:14" ht="12.75" x14ac:dyDescent="0.2">
      <c r="H466" s="200"/>
      <c r="K466" s="200"/>
      <c r="N466" s="200"/>
    </row>
    <row r="467" spans="8:14" ht="12.75" x14ac:dyDescent="0.2">
      <c r="H467" s="200"/>
      <c r="K467" s="200"/>
      <c r="N467" s="200"/>
    </row>
    <row r="468" spans="8:14" ht="12.75" x14ac:dyDescent="0.2">
      <c r="H468" s="200"/>
      <c r="K468" s="200"/>
      <c r="N468" s="200"/>
    </row>
    <row r="469" spans="8:14" ht="12.75" x14ac:dyDescent="0.2">
      <c r="H469" s="200"/>
      <c r="K469" s="200"/>
      <c r="N469" s="200"/>
    </row>
    <row r="470" spans="8:14" ht="12.75" x14ac:dyDescent="0.2">
      <c r="H470" s="200"/>
      <c r="K470" s="200"/>
      <c r="N470" s="200"/>
    </row>
    <row r="471" spans="8:14" ht="12.75" x14ac:dyDescent="0.2">
      <c r="H471" s="200"/>
      <c r="K471" s="200"/>
      <c r="N471" s="200"/>
    </row>
    <row r="472" spans="8:14" ht="12.75" x14ac:dyDescent="0.2">
      <c r="H472" s="200"/>
      <c r="K472" s="200"/>
      <c r="N472" s="200"/>
    </row>
    <row r="473" spans="8:14" ht="12.75" x14ac:dyDescent="0.2">
      <c r="H473" s="200"/>
      <c r="K473" s="200"/>
      <c r="N473" s="200"/>
    </row>
    <row r="474" spans="8:14" ht="12.75" x14ac:dyDescent="0.2">
      <c r="H474" s="200"/>
      <c r="K474" s="200"/>
      <c r="N474" s="200"/>
    </row>
    <row r="475" spans="8:14" ht="12.75" x14ac:dyDescent="0.2">
      <c r="H475" s="200"/>
      <c r="K475" s="200"/>
      <c r="N475" s="200"/>
    </row>
    <row r="476" spans="8:14" ht="12.75" x14ac:dyDescent="0.2">
      <c r="H476" s="200"/>
      <c r="K476" s="200"/>
      <c r="N476" s="200"/>
    </row>
    <row r="477" spans="8:14" ht="12.75" x14ac:dyDescent="0.2">
      <c r="H477" s="200"/>
      <c r="K477" s="200"/>
      <c r="N477" s="200"/>
    </row>
    <row r="478" spans="8:14" ht="12.75" x14ac:dyDescent="0.2">
      <c r="H478" s="200"/>
      <c r="K478" s="200"/>
      <c r="N478" s="200"/>
    </row>
    <row r="479" spans="8:14" ht="12.75" x14ac:dyDescent="0.2">
      <c r="H479" s="200"/>
      <c r="K479" s="200"/>
      <c r="N479" s="200"/>
    </row>
    <row r="480" spans="8:14" ht="12.75" x14ac:dyDescent="0.2">
      <c r="H480" s="200"/>
      <c r="K480" s="200"/>
      <c r="N480" s="200"/>
    </row>
    <row r="481" spans="8:14" ht="12.75" x14ac:dyDescent="0.2">
      <c r="H481" s="200"/>
      <c r="K481" s="200"/>
      <c r="N481" s="200"/>
    </row>
    <row r="482" spans="8:14" ht="12.75" x14ac:dyDescent="0.2">
      <c r="H482" s="200"/>
      <c r="K482" s="200"/>
      <c r="N482" s="200"/>
    </row>
    <row r="483" spans="8:14" ht="12.75" x14ac:dyDescent="0.2">
      <c r="H483" s="200"/>
      <c r="K483" s="200"/>
      <c r="N483" s="200"/>
    </row>
    <row r="484" spans="8:14" ht="12.75" x14ac:dyDescent="0.2">
      <c r="H484" s="200"/>
      <c r="K484" s="200"/>
      <c r="N484" s="200"/>
    </row>
    <row r="485" spans="8:14" ht="12.75" x14ac:dyDescent="0.2">
      <c r="H485" s="200"/>
      <c r="K485" s="200"/>
      <c r="N485" s="200"/>
    </row>
    <row r="486" spans="8:14" ht="12.75" x14ac:dyDescent="0.2">
      <c r="H486" s="200"/>
      <c r="K486" s="200"/>
      <c r="N486" s="200"/>
    </row>
    <row r="487" spans="8:14" ht="12.75" x14ac:dyDescent="0.2">
      <c r="H487" s="200"/>
      <c r="K487" s="200"/>
      <c r="N487" s="200"/>
    </row>
    <row r="488" spans="8:14" ht="12.75" x14ac:dyDescent="0.2">
      <c r="H488" s="200"/>
      <c r="K488" s="200"/>
      <c r="N488" s="200"/>
    </row>
    <row r="489" spans="8:14" ht="12.75" x14ac:dyDescent="0.2">
      <c r="H489" s="200"/>
      <c r="K489" s="200"/>
      <c r="N489" s="200"/>
    </row>
    <row r="490" spans="8:14" ht="12.75" x14ac:dyDescent="0.2">
      <c r="H490" s="200"/>
      <c r="K490" s="200"/>
      <c r="N490" s="200"/>
    </row>
    <row r="491" spans="8:14" ht="12.75" x14ac:dyDescent="0.2">
      <c r="H491" s="200"/>
      <c r="K491" s="200"/>
      <c r="N491" s="200"/>
    </row>
    <row r="492" spans="8:14" ht="12.75" x14ac:dyDescent="0.2">
      <c r="H492" s="200"/>
      <c r="K492" s="200"/>
      <c r="N492" s="200"/>
    </row>
    <row r="493" spans="8:14" ht="12.75" x14ac:dyDescent="0.2">
      <c r="H493" s="200"/>
      <c r="K493" s="200"/>
      <c r="N493" s="200"/>
    </row>
    <row r="494" spans="8:14" ht="12.75" x14ac:dyDescent="0.2">
      <c r="H494" s="200"/>
      <c r="K494" s="200"/>
      <c r="N494" s="200"/>
    </row>
    <row r="495" spans="8:14" ht="12.75" x14ac:dyDescent="0.2">
      <c r="H495" s="200"/>
      <c r="K495" s="200"/>
      <c r="N495" s="200"/>
    </row>
    <row r="496" spans="8:14" ht="12.75" x14ac:dyDescent="0.2">
      <c r="H496" s="200"/>
      <c r="K496" s="200"/>
      <c r="N496" s="200"/>
    </row>
    <row r="497" spans="8:14" ht="12.75" x14ac:dyDescent="0.2">
      <c r="H497" s="200"/>
      <c r="K497" s="200"/>
      <c r="N497" s="200"/>
    </row>
    <row r="498" spans="8:14" ht="12.75" x14ac:dyDescent="0.2">
      <c r="H498" s="200"/>
      <c r="K498" s="200"/>
      <c r="N498" s="200"/>
    </row>
    <row r="499" spans="8:14" ht="12.75" x14ac:dyDescent="0.2">
      <c r="H499" s="200"/>
      <c r="K499" s="200"/>
      <c r="N499" s="200"/>
    </row>
    <row r="500" spans="8:14" ht="12.75" x14ac:dyDescent="0.2">
      <c r="H500" s="200"/>
      <c r="K500" s="200"/>
      <c r="N500" s="200"/>
    </row>
    <row r="501" spans="8:14" ht="12.75" x14ac:dyDescent="0.2">
      <c r="H501" s="200"/>
      <c r="K501" s="200"/>
      <c r="N501" s="200"/>
    </row>
    <row r="502" spans="8:14" ht="12.75" x14ac:dyDescent="0.2">
      <c r="H502" s="200"/>
      <c r="K502" s="200"/>
      <c r="N502" s="200"/>
    </row>
    <row r="503" spans="8:14" ht="12.75" x14ac:dyDescent="0.2">
      <c r="H503" s="200"/>
      <c r="K503" s="200"/>
      <c r="N503" s="200"/>
    </row>
    <row r="504" spans="8:14" ht="12.75" x14ac:dyDescent="0.2">
      <c r="H504" s="200"/>
      <c r="K504" s="200"/>
      <c r="N504" s="200"/>
    </row>
    <row r="505" spans="8:14" ht="12.75" x14ac:dyDescent="0.2">
      <c r="H505" s="200"/>
      <c r="K505" s="200"/>
      <c r="N505" s="200"/>
    </row>
    <row r="506" spans="8:14" ht="12.75" x14ac:dyDescent="0.2">
      <c r="H506" s="200"/>
      <c r="K506" s="200"/>
      <c r="N506" s="200"/>
    </row>
    <row r="507" spans="8:14" ht="12.75" x14ac:dyDescent="0.2">
      <c r="H507" s="200"/>
      <c r="K507" s="200"/>
      <c r="N507" s="200"/>
    </row>
    <row r="508" spans="8:14" ht="12.75" x14ac:dyDescent="0.2">
      <c r="H508" s="200"/>
      <c r="K508" s="200"/>
      <c r="N508" s="200"/>
    </row>
    <row r="509" spans="8:14" ht="12.75" x14ac:dyDescent="0.2">
      <c r="H509" s="200"/>
      <c r="K509" s="200"/>
      <c r="N509" s="200"/>
    </row>
    <row r="510" spans="8:14" ht="12.75" x14ac:dyDescent="0.2">
      <c r="H510" s="200"/>
      <c r="K510" s="200"/>
      <c r="N510" s="200"/>
    </row>
    <row r="511" spans="8:14" ht="12.75" x14ac:dyDescent="0.2">
      <c r="H511" s="200"/>
      <c r="K511" s="200"/>
      <c r="N511" s="200"/>
    </row>
    <row r="512" spans="8:14" ht="12.75" x14ac:dyDescent="0.2">
      <c r="H512" s="200"/>
      <c r="K512" s="200"/>
      <c r="N512" s="200"/>
    </row>
    <row r="513" spans="8:14" ht="12.75" x14ac:dyDescent="0.2">
      <c r="H513" s="200"/>
      <c r="K513" s="200"/>
      <c r="N513" s="200"/>
    </row>
    <row r="514" spans="8:14" ht="12.75" x14ac:dyDescent="0.2">
      <c r="H514" s="200"/>
      <c r="K514" s="200"/>
      <c r="N514" s="200"/>
    </row>
    <row r="515" spans="8:14" ht="12.75" x14ac:dyDescent="0.2">
      <c r="H515" s="200"/>
      <c r="K515" s="200"/>
      <c r="N515" s="200"/>
    </row>
    <row r="516" spans="8:14" ht="12.75" x14ac:dyDescent="0.2">
      <c r="H516" s="200"/>
      <c r="K516" s="200"/>
      <c r="N516" s="200"/>
    </row>
    <row r="517" spans="8:14" ht="12.75" x14ac:dyDescent="0.2">
      <c r="H517" s="200"/>
      <c r="K517" s="200"/>
      <c r="N517" s="200"/>
    </row>
    <row r="518" spans="8:14" ht="12.75" x14ac:dyDescent="0.2">
      <c r="H518" s="200"/>
      <c r="K518" s="200"/>
      <c r="N518" s="200"/>
    </row>
    <row r="519" spans="8:14" ht="12.75" x14ac:dyDescent="0.2">
      <c r="H519" s="200"/>
      <c r="K519" s="200"/>
      <c r="N519" s="200"/>
    </row>
    <row r="520" spans="8:14" ht="12.75" x14ac:dyDescent="0.2">
      <c r="H520" s="200"/>
      <c r="K520" s="200"/>
      <c r="N520" s="200"/>
    </row>
    <row r="521" spans="8:14" ht="12.75" x14ac:dyDescent="0.2">
      <c r="H521" s="200"/>
      <c r="K521" s="200"/>
      <c r="N521" s="200"/>
    </row>
    <row r="522" spans="8:14" ht="12.75" x14ac:dyDescent="0.2">
      <c r="H522" s="200"/>
      <c r="K522" s="200"/>
      <c r="N522" s="200"/>
    </row>
    <row r="523" spans="8:14" ht="12.75" x14ac:dyDescent="0.2">
      <c r="H523" s="200"/>
      <c r="K523" s="200"/>
      <c r="N523" s="200"/>
    </row>
    <row r="524" spans="8:14" ht="12.75" x14ac:dyDescent="0.2">
      <c r="H524" s="200"/>
      <c r="K524" s="200"/>
      <c r="N524" s="200"/>
    </row>
    <row r="525" spans="8:14" ht="12.75" x14ac:dyDescent="0.2">
      <c r="H525" s="200"/>
      <c r="K525" s="200"/>
      <c r="N525" s="200"/>
    </row>
    <row r="526" spans="8:14" ht="12.75" x14ac:dyDescent="0.2">
      <c r="H526" s="200"/>
      <c r="K526" s="200"/>
      <c r="N526" s="200"/>
    </row>
    <row r="527" spans="8:14" ht="12.75" x14ac:dyDescent="0.2">
      <c r="H527" s="200"/>
      <c r="K527" s="200"/>
      <c r="N527" s="200"/>
    </row>
    <row r="528" spans="8:14" ht="12.75" x14ac:dyDescent="0.2">
      <c r="H528" s="200"/>
      <c r="K528" s="200"/>
      <c r="N528" s="200"/>
    </row>
    <row r="529" spans="8:14" ht="12.75" x14ac:dyDescent="0.2">
      <c r="H529" s="200"/>
      <c r="K529" s="200"/>
      <c r="N529" s="200"/>
    </row>
    <row r="530" spans="8:14" ht="12.75" x14ac:dyDescent="0.2">
      <c r="H530" s="200"/>
      <c r="K530" s="200"/>
      <c r="N530" s="200"/>
    </row>
    <row r="531" spans="8:14" ht="12.75" x14ac:dyDescent="0.2">
      <c r="H531" s="200"/>
      <c r="K531" s="200"/>
      <c r="N531" s="200"/>
    </row>
    <row r="532" spans="8:14" ht="12.75" x14ac:dyDescent="0.2">
      <c r="H532" s="200"/>
      <c r="K532" s="200"/>
      <c r="N532" s="200"/>
    </row>
    <row r="533" spans="8:14" ht="12.75" x14ac:dyDescent="0.2">
      <c r="H533" s="200"/>
      <c r="K533" s="200"/>
      <c r="N533" s="200"/>
    </row>
    <row r="534" spans="8:14" ht="12.75" x14ac:dyDescent="0.2">
      <c r="H534" s="200"/>
      <c r="K534" s="200"/>
      <c r="N534" s="200"/>
    </row>
    <row r="535" spans="8:14" ht="12.75" x14ac:dyDescent="0.2">
      <c r="H535" s="200"/>
      <c r="K535" s="200"/>
      <c r="N535" s="200"/>
    </row>
    <row r="536" spans="8:14" ht="12.75" x14ac:dyDescent="0.2">
      <c r="H536" s="200"/>
      <c r="K536" s="200"/>
      <c r="N536" s="200"/>
    </row>
    <row r="537" spans="8:14" ht="12.75" x14ac:dyDescent="0.2">
      <c r="H537" s="200"/>
      <c r="K537" s="200"/>
      <c r="N537" s="200"/>
    </row>
    <row r="538" spans="8:14" ht="12.75" x14ac:dyDescent="0.2">
      <c r="H538" s="200"/>
      <c r="K538" s="200"/>
      <c r="N538" s="200"/>
    </row>
    <row r="539" spans="8:14" ht="12.75" x14ac:dyDescent="0.2">
      <c r="H539" s="200"/>
      <c r="K539" s="200"/>
      <c r="N539" s="200"/>
    </row>
    <row r="540" spans="8:14" ht="12.75" x14ac:dyDescent="0.2">
      <c r="H540" s="200"/>
      <c r="K540" s="200"/>
      <c r="N540" s="200"/>
    </row>
    <row r="541" spans="8:14" ht="12.75" x14ac:dyDescent="0.2">
      <c r="H541" s="200"/>
      <c r="K541" s="200"/>
      <c r="N541" s="200"/>
    </row>
    <row r="542" spans="8:14" ht="12.75" x14ac:dyDescent="0.2">
      <c r="H542" s="200"/>
      <c r="K542" s="200"/>
      <c r="N542" s="200"/>
    </row>
    <row r="543" spans="8:14" ht="12.75" x14ac:dyDescent="0.2">
      <c r="H543" s="200"/>
      <c r="K543" s="200"/>
      <c r="N543" s="200"/>
    </row>
    <row r="544" spans="8:14" ht="12.75" x14ac:dyDescent="0.2">
      <c r="H544" s="200"/>
      <c r="K544" s="200"/>
      <c r="N544" s="200"/>
    </row>
    <row r="545" spans="8:14" ht="12.75" x14ac:dyDescent="0.2">
      <c r="H545" s="200"/>
      <c r="K545" s="200"/>
      <c r="N545" s="200"/>
    </row>
    <row r="546" spans="8:14" ht="12.75" x14ac:dyDescent="0.2">
      <c r="H546" s="200"/>
      <c r="K546" s="200"/>
      <c r="N546" s="200"/>
    </row>
    <row r="547" spans="8:14" ht="12.75" x14ac:dyDescent="0.2">
      <c r="H547" s="200"/>
      <c r="K547" s="200"/>
      <c r="N547" s="200"/>
    </row>
    <row r="548" spans="8:14" ht="12.75" x14ac:dyDescent="0.2">
      <c r="H548" s="200"/>
      <c r="K548" s="200"/>
      <c r="N548" s="200"/>
    </row>
    <row r="549" spans="8:14" ht="12.75" x14ac:dyDescent="0.2">
      <c r="H549" s="200"/>
      <c r="K549" s="200"/>
      <c r="N549" s="200"/>
    </row>
    <row r="550" spans="8:14" ht="12.75" x14ac:dyDescent="0.2">
      <c r="H550" s="200"/>
      <c r="K550" s="200"/>
      <c r="N550" s="200"/>
    </row>
    <row r="551" spans="8:14" ht="12.75" x14ac:dyDescent="0.2">
      <c r="H551" s="200"/>
      <c r="K551" s="200"/>
      <c r="N551" s="200"/>
    </row>
    <row r="552" spans="8:14" ht="12.75" x14ac:dyDescent="0.2">
      <c r="H552" s="200"/>
      <c r="K552" s="200"/>
      <c r="N552" s="200"/>
    </row>
    <row r="553" spans="8:14" ht="12.75" x14ac:dyDescent="0.2">
      <c r="H553" s="200"/>
      <c r="K553" s="200"/>
      <c r="N553" s="200"/>
    </row>
    <row r="554" spans="8:14" ht="12.75" x14ac:dyDescent="0.2">
      <c r="H554" s="200"/>
      <c r="K554" s="200"/>
      <c r="N554" s="200"/>
    </row>
    <row r="555" spans="8:14" ht="12.75" x14ac:dyDescent="0.2">
      <c r="H555" s="200"/>
      <c r="K555" s="200"/>
      <c r="N555" s="200"/>
    </row>
    <row r="556" spans="8:14" ht="12.75" x14ac:dyDescent="0.2">
      <c r="H556" s="200"/>
      <c r="K556" s="200"/>
      <c r="N556" s="200"/>
    </row>
    <row r="557" spans="8:14" ht="12.75" x14ac:dyDescent="0.2">
      <c r="H557" s="200"/>
      <c r="K557" s="200"/>
      <c r="N557" s="200"/>
    </row>
    <row r="558" spans="8:14" ht="12.75" x14ac:dyDescent="0.2">
      <c r="H558" s="200"/>
      <c r="K558" s="200"/>
      <c r="N558" s="200"/>
    </row>
    <row r="559" spans="8:14" ht="12.75" x14ac:dyDescent="0.2">
      <c r="H559" s="200"/>
      <c r="K559" s="200"/>
      <c r="N559" s="200"/>
    </row>
    <row r="560" spans="8:14" ht="12.75" x14ac:dyDescent="0.2">
      <c r="H560" s="200"/>
      <c r="K560" s="200"/>
      <c r="N560" s="200"/>
    </row>
    <row r="561" spans="8:14" ht="12.75" x14ac:dyDescent="0.2">
      <c r="H561" s="200"/>
      <c r="K561" s="200"/>
      <c r="N561" s="200"/>
    </row>
    <row r="562" spans="8:14" ht="12.75" x14ac:dyDescent="0.2">
      <c r="H562" s="200"/>
      <c r="K562" s="200"/>
      <c r="N562" s="200"/>
    </row>
    <row r="563" spans="8:14" ht="12.75" x14ac:dyDescent="0.2">
      <c r="H563" s="200"/>
      <c r="K563" s="200"/>
      <c r="N563" s="200"/>
    </row>
    <row r="564" spans="8:14" ht="12.75" x14ac:dyDescent="0.2">
      <c r="H564" s="200"/>
      <c r="K564" s="200"/>
      <c r="N564" s="200"/>
    </row>
    <row r="565" spans="8:14" ht="12.75" x14ac:dyDescent="0.2">
      <c r="H565" s="200"/>
      <c r="K565" s="200"/>
      <c r="N565" s="200"/>
    </row>
    <row r="566" spans="8:14" ht="12.75" x14ac:dyDescent="0.2">
      <c r="H566" s="200"/>
      <c r="K566" s="200"/>
      <c r="N566" s="200"/>
    </row>
    <row r="567" spans="8:14" ht="12.75" x14ac:dyDescent="0.2">
      <c r="H567" s="200"/>
      <c r="K567" s="200"/>
      <c r="N567" s="200"/>
    </row>
    <row r="568" spans="8:14" ht="12.75" x14ac:dyDescent="0.2">
      <c r="H568" s="200"/>
      <c r="K568" s="200"/>
      <c r="N568" s="200"/>
    </row>
    <row r="569" spans="8:14" ht="12.75" x14ac:dyDescent="0.2">
      <c r="H569" s="200"/>
      <c r="K569" s="200"/>
      <c r="N569" s="200"/>
    </row>
    <row r="570" spans="8:14" ht="12.75" x14ac:dyDescent="0.2">
      <c r="H570" s="200"/>
      <c r="K570" s="200"/>
      <c r="N570" s="200"/>
    </row>
    <row r="571" spans="8:14" ht="12.75" x14ac:dyDescent="0.2">
      <c r="H571" s="200"/>
      <c r="K571" s="200"/>
      <c r="N571" s="200"/>
    </row>
    <row r="572" spans="8:14" ht="12.75" x14ac:dyDescent="0.2">
      <c r="H572" s="200"/>
      <c r="K572" s="200"/>
      <c r="N572" s="200"/>
    </row>
    <row r="573" spans="8:14" ht="12.75" x14ac:dyDescent="0.2">
      <c r="H573" s="200"/>
      <c r="K573" s="200"/>
      <c r="N573" s="200"/>
    </row>
    <row r="574" spans="8:14" ht="12.75" x14ac:dyDescent="0.2">
      <c r="H574" s="200"/>
      <c r="K574" s="200"/>
      <c r="N574" s="200"/>
    </row>
    <row r="575" spans="8:14" ht="12.75" x14ac:dyDescent="0.2">
      <c r="H575" s="200"/>
      <c r="K575" s="200"/>
      <c r="N575" s="200"/>
    </row>
    <row r="576" spans="8:14" ht="12.75" x14ac:dyDescent="0.2">
      <c r="H576" s="200"/>
      <c r="K576" s="200"/>
      <c r="N576" s="200"/>
    </row>
    <row r="577" spans="8:14" ht="12.75" x14ac:dyDescent="0.2">
      <c r="H577" s="200"/>
      <c r="K577" s="200"/>
      <c r="N577" s="200"/>
    </row>
    <row r="578" spans="8:14" ht="12.75" x14ac:dyDescent="0.2">
      <c r="H578" s="200"/>
      <c r="K578" s="200"/>
      <c r="N578" s="200"/>
    </row>
    <row r="579" spans="8:14" ht="12.75" x14ac:dyDescent="0.2">
      <c r="H579" s="200"/>
      <c r="K579" s="200"/>
      <c r="N579" s="200"/>
    </row>
    <row r="580" spans="8:14" ht="12.75" x14ac:dyDescent="0.2">
      <c r="H580" s="200"/>
      <c r="K580" s="200"/>
      <c r="N580" s="200"/>
    </row>
    <row r="581" spans="8:14" ht="12.75" x14ac:dyDescent="0.2">
      <c r="H581" s="200"/>
      <c r="K581" s="200"/>
      <c r="N581" s="200"/>
    </row>
    <row r="582" spans="8:14" ht="12.75" x14ac:dyDescent="0.2">
      <c r="H582" s="200"/>
      <c r="K582" s="200"/>
      <c r="N582" s="200"/>
    </row>
    <row r="583" spans="8:14" ht="12.75" x14ac:dyDescent="0.2">
      <c r="H583" s="200"/>
      <c r="K583" s="200"/>
      <c r="N583" s="200"/>
    </row>
    <row r="584" spans="8:14" ht="12.75" x14ac:dyDescent="0.2">
      <c r="H584" s="200"/>
      <c r="K584" s="200"/>
      <c r="N584" s="200"/>
    </row>
    <row r="585" spans="8:14" ht="12.75" x14ac:dyDescent="0.2">
      <c r="H585" s="200"/>
      <c r="K585" s="200"/>
      <c r="N585" s="200"/>
    </row>
    <row r="586" spans="8:14" ht="12.75" x14ac:dyDescent="0.2">
      <c r="H586" s="200"/>
      <c r="K586" s="200"/>
      <c r="N586" s="200"/>
    </row>
    <row r="587" spans="8:14" ht="12.75" x14ac:dyDescent="0.2">
      <c r="H587" s="200"/>
      <c r="K587" s="200"/>
      <c r="N587" s="200"/>
    </row>
    <row r="588" spans="8:14" ht="12.75" x14ac:dyDescent="0.2">
      <c r="H588" s="200"/>
      <c r="K588" s="200"/>
      <c r="N588" s="200"/>
    </row>
    <row r="589" spans="8:14" ht="12.75" x14ac:dyDescent="0.2">
      <c r="H589" s="200"/>
      <c r="K589" s="200"/>
      <c r="N589" s="200"/>
    </row>
    <row r="590" spans="8:14" ht="12.75" x14ac:dyDescent="0.2">
      <c r="H590" s="200"/>
      <c r="K590" s="200"/>
      <c r="N590" s="200"/>
    </row>
    <row r="591" spans="8:14" ht="12.75" x14ac:dyDescent="0.2">
      <c r="H591" s="200"/>
      <c r="K591" s="200"/>
      <c r="N591" s="200"/>
    </row>
    <row r="592" spans="8:14" ht="12.75" x14ac:dyDescent="0.2">
      <c r="H592" s="200"/>
      <c r="K592" s="200"/>
      <c r="N592" s="200"/>
    </row>
    <row r="593" spans="8:14" ht="12.75" x14ac:dyDescent="0.2">
      <c r="H593" s="200"/>
      <c r="K593" s="200"/>
      <c r="N593" s="200"/>
    </row>
    <row r="594" spans="8:14" ht="12.75" x14ac:dyDescent="0.2">
      <c r="H594" s="200"/>
      <c r="K594" s="200"/>
      <c r="N594" s="200"/>
    </row>
    <row r="595" spans="8:14" ht="12.75" x14ac:dyDescent="0.2">
      <c r="H595" s="200"/>
      <c r="K595" s="200"/>
      <c r="N595" s="200"/>
    </row>
    <row r="596" spans="8:14" ht="12.75" x14ac:dyDescent="0.2">
      <c r="H596" s="200"/>
      <c r="K596" s="200"/>
      <c r="N596" s="200"/>
    </row>
    <row r="597" spans="8:14" ht="12.75" x14ac:dyDescent="0.2">
      <c r="H597" s="200"/>
      <c r="K597" s="200"/>
      <c r="N597" s="200"/>
    </row>
    <row r="598" spans="8:14" ht="12.75" x14ac:dyDescent="0.2">
      <c r="H598" s="200"/>
      <c r="K598" s="200"/>
      <c r="N598" s="200"/>
    </row>
    <row r="599" spans="8:14" ht="12.75" x14ac:dyDescent="0.2">
      <c r="H599" s="200"/>
      <c r="K599" s="200"/>
      <c r="N599" s="200"/>
    </row>
    <row r="600" spans="8:14" ht="12.75" x14ac:dyDescent="0.2">
      <c r="H600" s="200"/>
      <c r="K600" s="200"/>
      <c r="N600" s="200"/>
    </row>
    <row r="601" spans="8:14" ht="12.75" x14ac:dyDescent="0.2">
      <c r="H601" s="200"/>
      <c r="K601" s="200"/>
      <c r="N601" s="200"/>
    </row>
    <row r="602" spans="8:14" ht="12.75" x14ac:dyDescent="0.2">
      <c r="H602" s="200"/>
      <c r="K602" s="200"/>
      <c r="N602" s="200"/>
    </row>
    <row r="603" spans="8:14" ht="12.75" x14ac:dyDescent="0.2">
      <c r="H603" s="200"/>
      <c r="K603" s="200"/>
      <c r="N603" s="200"/>
    </row>
    <row r="604" spans="8:14" ht="12.75" x14ac:dyDescent="0.2">
      <c r="H604" s="200"/>
      <c r="K604" s="200"/>
      <c r="N604" s="200"/>
    </row>
    <row r="605" spans="8:14" ht="12.75" x14ac:dyDescent="0.2">
      <c r="H605" s="200"/>
      <c r="K605" s="200"/>
      <c r="N605" s="200"/>
    </row>
    <row r="606" spans="8:14" ht="12.75" x14ac:dyDescent="0.2">
      <c r="H606" s="200"/>
      <c r="K606" s="200"/>
      <c r="N606" s="200"/>
    </row>
    <row r="607" spans="8:14" ht="12.75" x14ac:dyDescent="0.2">
      <c r="H607" s="200"/>
      <c r="K607" s="200"/>
      <c r="N607" s="200"/>
    </row>
    <row r="608" spans="8:14" ht="12.75" x14ac:dyDescent="0.2">
      <c r="H608" s="200"/>
      <c r="K608" s="200"/>
      <c r="N608" s="200"/>
    </row>
    <row r="609" spans="8:14" ht="12.75" x14ac:dyDescent="0.2">
      <c r="H609" s="200"/>
      <c r="K609" s="200"/>
      <c r="N609" s="200"/>
    </row>
    <row r="610" spans="8:14" ht="12.75" x14ac:dyDescent="0.2">
      <c r="H610" s="200"/>
      <c r="K610" s="200"/>
      <c r="N610" s="200"/>
    </row>
    <row r="611" spans="8:14" ht="12.75" x14ac:dyDescent="0.2">
      <c r="H611" s="200"/>
      <c r="K611" s="200"/>
      <c r="N611" s="200"/>
    </row>
    <row r="612" spans="8:14" ht="12.75" x14ac:dyDescent="0.2">
      <c r="H612" s="200"/>
      <c r="K612" s="200"/>
      <c r="N612" s="200"/>
    </row>
    <row r="613" spans="8:14" ht="12.75" x14ac:dyDescent="0.2">
      <c r="H613" s="200"/>
      <c r="K613" s="200"/>
      <c r="N613" s="200"/>
    </row>
    <row r="614" spans="8:14" ht="12.75" x14ac:dyDescent="0.2">
      <c r="H614" s="200"/>
      <c r="K614" s="200"/>
      <c r="N614" s="200"/>
    </row>
    <row r="615" spans="8:14" ht="12.75" x14ac:dyDescent="0.2">
      <c r="H615" s="200"/>
      <c r="K615" s="200"/>
      <c r="N615" s="200"/>
    </row>
    <row r="616" spans="8:14" ht="12.75" x14ac:dyDescent="0.2">
      <c r="H616" s="200"/>
      <c r="K616" s="200"/>
      <c r="N616" s="200"/>
    </row>
    <row r="617" spans="8:14" ht="12.75" x14ac:dyDescent="0.2">
      <c r="H617" s="200"/>
      <c r="K617" s="200"/>
      <c r="N617" s="200"/>
    </row>
    <row r="618" spans="8:14" ht="12.75" x14ac:dyDescent="0.2">
      <c r="H618" s="200"/>
      <c r="K618" s="200"/>
      <c r="N618" s="200"/>
    </row>
    <row r="619" spans="8:14" ht="12.75" x14ac:dyDescent="0.2">
      <c r="H619" s="200"/>
      <c r="K619" s="200"/>
      <c r="N619" s="200"/>
    </row>
    <row r="620" spans="8:14" ht="12.75" x14ac:dyDescent="0.2">
      <c r="H620" s="200"/>
      <c r="K620" s="200"/>
      <c r="N620" s="200"/>
    </row>
    <row r="621" spans="8:14" ht="12.75" x14ac:dyDescent="0.2">
      <c r="H621" s="200"/>
      <c r="K621" s="200"/>
      <c r="N621" s="200"/>
    </row>
    <row r="622" spans="8:14" ht="12.75" x14ac:dyDescent="0.2">
      <c r="H622" s="200"/>
      <c r="K622" s="200"/>
      <c r="N622" s="200"/>
    </row>
    <row r="623" spans="8:14" ht="12.75" x14ac:dyDescent="0.2">
      <c r="H623" s="200"/>
      <c r="K623" s="200"/>
      <c r="N623" s="200"/>
    </row>
    <row r="624" spans="8:14" ht="12.75" x14ac:dyDescent="0.2">
      <c r="H624" s="200"/>
      <c r="K624" s="200"/>
      <c r="N624" s="200"/>
    </row>
    <row r="625" spans="8:14" ht="12.75" x14ac:dyDescent="0.2">
      <c r="H625" s="200"/>
      <c r="K625" s="200"/>
      <c r="N625" s="200"/>
    </row>
    <row r="626" spans="8:14" ht="12.75" x14ac:dyDescent="0.2">
      <c r="H626" s="200"/>
      <c r="K626" s="200"/>
      <c r="N626" s="200"/>
    </row>
    <row r="627" spans="8:14" ht="12.75" x14ac:dyDescent="0.2">
      <c r="H627" s="200"/>
      <c r="K627" s="200"/>
      <c r="N627" s="200"/>
    </row>
    <row r="628" spans="8:14" ht="12.75" x14ac:dyDescent="0.2">
      <c r="H628" s="200"/>
      <c r="K628" s="200"/>
      <c r="N628" s="200"/>
    </row>
    <row r="629" spans="8:14" ht="12.75" x14ac:dyDescent="0.2">
      <c r="H629" s="200"/>
      <c r="K629" s="200"/>
      <c r="N629" s="200"/>
    </row>
    <row r="630" spans="8:14" ht="12.75" x14ac:dyDescent="0.2">
      <c r="H630" s="200"/>
      <c r="K630" s="200"/>
      <c r="N630" s="200"/>
    </row>
    <row r="631" spans="8:14" ht="12.75" x14ac:dyDescent="0.2">
      <c r="H631" s="200"/>
      <c r="K631" s="200"/>
      <c r="N631" s="200"/>
    </row>
    <row r="632" spans="8:14" ht="12.75" x14ac:dyDescent="0.2">
      <c r="H632" s="200"/>
      <c r="K632" s="200"/>
      <c r="N632" s="200"/>
    </row>
    <row r="633" spans="8:14" ht="12.75" x14ac:dyDescent="0.2">
      <c r="H633" s="200"/>
      <c r="K633" s="200"/>
      <c r="N633" s="200"/>
    </row>
    <row r="634" spans="8:14" ht="12.75" x14ac:dyDescent="0.2">
      <c r="H634" s="200"/>
      <c r="K634" s="200"/>
      <c r="N634" s="200"/>
    </row>
    <row r="635" spans="8:14" ht="12.75" x14ac:dyDescent="0.2">
      <c r="H635" s="200"/>
      <c r="K635" s="200"/>
      <c r="N635" s="200"/>
    </row>
    <row r="636" spans="8:14" ht="12.75" x14ac:dyDescent="0.2">
      <c r="H636" s="200"/>
      <c r="K636" s="200"/>
      <c r="N636" s="200"/>
    </row>
    <row r="637" spans="8:14" ht="12.75" x14ac:dyDescent="0.2">
      <c r="H637" s="200"/>
      <c r="K637" s="200"/>
      <c r="N637" s="200"/>
    </row>
    <row r="638" spans="8:14" ht="12.75" x14ac:dyDescent="0.2">
      <c r="H638" s="200"/>
      <c r="K638" s="200"/>
      <c r="N638" s="200"/>
    </row>
    <row r="639" spans="8:14" ht="12.75" x14ac:dyDescent="0.2">
      <c r="H639" s="200"/>
      <c r="K639" s="200"/>
      <c r="N639" s="200"/>
    </row>
    <row r="640" spans="8:14" ht="12.75" x14ac:dyDescent="0.2">
      <c r="H640" s="200"/>
      <c r="K640" s="200"/>
      <c r="N640" s="200"/>
    </row>
    <row r="641" spans="8:14" ht="12.75" x14ac:dyDescent="0.2">
      <c r="H641" s="200"/>
      <c r="K641" s="200"/>
      <c r="N641" s="200"/>
    </row>
    <row r="642" spans="8:14" ht="12.75" x14ac:dyDescent="0.2">
      <c r="H642" s="200"/>
      <c r="K642" s="200"/>
      <c r="N642" s="200"/>
    </row>
    <row r="643" spans="8:14" ht="12.75" x14ac:dyDescent="0.2">
      <c r="H643" s="200"/>
      <c r="K643" s="200"/>
      <c r="N643" s="200"/>
    </row>
    <row r="644" spans="8:14" ht="12.75" x14ac:dyDescent="0.2">
      <c r="H644" s="200"/>
      <c r="K644" s="200"/>
      <c r="N644" s="200"/>
    </row>
    <row r="645" spans="8:14" ht="12.75" x14ac:dyDescent="0.2">
      <c r="H645" s="200"/>
      <c r="K645" s="200"/>
      <c r="N645" s="200"/>
    </row>
    <row r="646" spans="8:14" ht="12.75" x14ac:dyDescent="0.2">
      <c r="H646" s="200"/>
      <c r="K646" s="200"/>
      <c r="N646" s="200"/>
    </row>
    <row r="647" spans="8:14" ht="12.75" x14ac:dyDescent="0.2">
      <c r="H647" s="200"/>
      <c r="K647" s="200"/>
      <c r="N647" s="200"/>
    </row>
    <row r="648" spans="8:14" ht="12.75" x14ac:dyDescent="0.2">
      <c r="H648" s="200"/>
      <c r="K648" s="200"/>
      <c r="N648" s="200"/>
    </row>
    <row r="649" spans="8:14" ht="12.75" x14ac:dyDescent="0.2">
      <c r="H649" s="200"/>
      <c r="K649" s="200"/>
      <c r="N649" s="200"/>
    </row>
    <row r="650" spans="8:14" ht="12.75" x14ac:dyDescent="0.2">
      <c r="H650" s="200"/>
      <c r="K650" s="200"/>
      <c r="N650" s="200"/>
    </row>
    <row r="651" spans="8:14" ht="12.75" x14ac:dyDescent="0.2">
      <c r="H651" s="200"/>
      <c r="K651" s="200"/>
      <c r="N651" s="200"/>
    </row>
    <row r="652" spans="8:14" ht="12.75" x14ac:dyDescent="0.2">
      <c r="H652" s="200"/>
      <c r="K652" s="200"/>
      <c r="N652" s="200"/>
    </row>
    <row r="653" spans="8:14" ht="12.75" x14ac:dyDescent="0.2">
      <c r="H653" s="200"/>
      <c r="K653" s="200"/>
      <c r="N653" s="200"/>
    </row>
    <row r="654" spans="8:14" ht="12.75" x14ac:dyDescent="0.2">
      <c r="H654" s="200"/>
      <c r="K654" s="200"/>
      <c r="N654" s="200"/>
    </row>
    <row r="655" spans="8:14" ht="12.75" x14ac:dyDescent="0.2">
      <c r="H655" s="200"/>
      <c r="K655" s="200"/>
      <c r="N655" s="200"/>
    </row>
    <row r="656" spans="8:14" ht="12.75" x14ac:dyDescent="0.2">
      <c r="H656" s="200"/>
      <c r="K656" s="200"/>
      <c r="N656" s="200"/>
    </row>
    <row r="657" spans="8:14" ht="12.75" x14ac:dyDescent="0.2">
      <c r="H657" s="200"/>
      <c r="K657" s="200"/>
      <c r="N657" s="200"/>
    </row>
    <row r="658" spans="8:14" ht="12.75" x14ac:dyDescent="0.2">
      <c r="H658" s="200"/>
      <c r="K658" s="200"/>
      <c r="N658" s="200"/>
    </row>
    <row r="659" spans="8:14" ht="12.75" x14ac:dyDescent="0.2">
      <c r="H659" s="200"/>
      <c r="K659" s="200"/>
      <c r="N659" s="200"/>
    </row>
    <row r="660" spans="8:14" ht="12.75" x14ac:dyDescent="0.2">
      <c r="H660" s="200"/>
      <c r="K660" s="200"/>
      <c r="N660" s="200"/>
    </row>
    <row r="661" spans="8:14" ht="12.75" x14ac:dyDescent="0.2">
      <c r="H661" s="200"/>
      <c r="K661" s="200"/>
      <c r="N661" s="200"/>
    </row>
    <row r="662" spans="8:14" ht="12.75" x14ac:dyDescent="0.2">
      <c r="H662" s="200"/>
      <c r="K662" s="200"/>
      <c r="N662" s="200"/>
    </row>
    <row r="663" spans="8:14" ht="12.75" x14ac:dyDescent="0.2">
      <c r="H663" s="200"/>
      <c r="K663" s="200"/>
      <c r="N663" s="200"/>
    </row>
    <row r="664" spans="8:14" ht="12.75" x14ac:dyDescent="0.2">
      <c r="H664" s="200"/>
      <c r="K664" s="200"/>
      <c r="N664" s="200"/>
    </row>
    <row r="665" spans="8:14" ht="12.75" x14ac:dyDescent="0.2">
      <c r="H665" s="200"/>
      <c r="K665" s="200"/>
      <c r="N665" s="200"/>
    </row>
    <row r="666" spans="8:14" ht="12.75" x14ac:dyDescent="0.2">
      <c r="H666" s="200"/>
      <c r="K666" s="200"/>
      <c r="N666" s="200"/>
    </row>
    <row r="667" spans="8:14" ht="12.75" x14ac:dyDescent="0.2">
      <c r="H667" s="200"/>
      <c r="K667" s="200"/>
      <c r="N667" s="200"/>
    </row>
    <row r="668" spans="8:14" ht="12.75" x14ac:dyDescent="0.2">
      <c r="H668" s="200"/>
      <c r="K668" s="200"/>
      <c r="N668" s="200"/>
    </row>
    <row r="669" spans="8:14" ht="12.75" x14ac:dyDescent="0.2">
      <c r="H669" s="200"/>
      <c r="K669" s="200"/>
      <c r="N669" s="200"/>
    </row>
    <row r="670" spans="8:14" ht="12.75" x14ac:dyDescent="0.2">
      <c r="H670" s="200"/>
      <c r="K670" s="200"/>
      <c r="N670" s="200"/>
    </row>
    <row r="671" spans="8:14" ht="12.75" x14ac:dyDescent="0.2">
      <c r="H671" s="200"/>
      <c r="K671" s="200"/>
      <c r="N671" s="200"/>
    </row>
    <row r="672" spans="8:14" ht="12.75" x14ac:dyDescent="0.2">
      <c r="H672" s="200"/>
      <c r="K672" s="200"/>
      <c r="N672" s="200"/>
    </row>
    <row r="673" spans="8:14" ht="12.75" x14ac:dyDescent="0.2">
      <c r="H673" s="200"/>
      <c r="K673" s="200"/>
      <c r="N673" s="200"/>
    </row>
    <row r="674" spans="8:14" ht="12.75" x14ac:dyDescent="0.2">
      <c r="H674" s="200"/>
      <c r="K674" s="200"/>
      <c r="N674" s="200"/>
    </row>
    <row r="675" spans="8:14" ht="12.75" x14ac:dyDescent="0.2">
      <c r="H675" s="200"/>
      <c r="K675" s="200"/>
      <c r="N675" s="200"/>
    </row>
    <row r="676" spans="8:14" ht="12.75" x14ac:dyDescent="0.2">
      <c r="H676" s="200"/>
      <c r="K676" s="200"/>
      <c r="N676" s="200"/>
    </row>
    <row r="677" spans="8:14" ht="12.75" x14ac:dyDescent="0.2">
      <c r="H677" s="200"/>
      <c r="K677" s="200"/>
      <c r="N677" s="200"/>
    </row>
    <row r="678" spans="8:14" ht="12.75" x14ac:dyDescent="0.2">
      <c r="H678" s="200"/>
      <c r="K678" s="200"/>
      <c r="N678" s="200"/>
    </row>
    <row r="679" spans="8:14" ht="12.75" x14ac:dyDescent="0.2">
      <c r="H679" s="200"/>
      <c r="K679" s="200"/>
      <c r="N679" s="200"/>
    </row>
    <row r="680" spans="8:14" ht="12.75" x14ac:dyDescent="0.2">
      <c r="H680" s="200"/>
      <c r="K680" s="200"/>
      <c r="N680" s="200"/>
    </row>
    <row r="681" spans="8:14" ht="12.75" x14ac:dyDescent="0.2">
      <c r="H681" s="200"/>
      <c r="K681" s="200"/>
      <c r="N681" s="200"/>
    </row>
    <row r="682" spans="8:14" ht="12.75" x14ac:dyDescent="0.2">
      <c r="H682" s="200"/>
      <c r="K682" s="200"/>
      <c r="N682" s="200"/>
    </row>
    <row r="683" spans="8:14" ht="12.75" x14ac:dyDescent="0.2">
      <c r="H683" s="200"/>
      <c r="K683" s="200"/>
      <c r="N683" s="200"/>
    </row>
    <row r="684" spans="8:14" ht="12.75" x14ac:dyDescent="0.2">
      <c r="H684" s="200"/>
      <c r="K684" s="200"/>
      <c r="N684" s="200"/>
    </row>
    <row r="685" spans="8:14" ht="12.75" x14ac:dyDescent="0.2">
      <c r="H685" s="200"/>
      <c r="K685" s="200"/>
      <c r="N685" s="200"/>
    </row>
    <row r="686" spans="8:14" ht="12.75" x14ac:dyDescent="0.2">
      <c r="H686" s="200"/>
      <c r="K686" s="200"/>
      <c r="N686" s="200"/>
    </row>
    <row r="687" spans="8:14" ht="12.75" x14ac:dyDescent="0.2">
      <c r="H687" s="200"/>
      <c r="K687" s="200"/>
      <c r="N687" s="200"/>
    </row>
    <row r="688" spans="8:14" ht="12.75" x14ac:dyDescent="0.2">
      <c r="H688" s="200"/>
      <c r="K688" s="200"/>
      <c r="N688" s="200"/>
    </row>
    <row r="689" spans="8:14" ht="12.75" x14ac:dyDescent="0.2">
      <c r="H689" s="200"/>
      <c r="K689" s="200"/>
      <c r="N689" s="200"/>
    </row>
    <row r="690" spans="8:14" ht="12.75" x14ac:dyDescent="0.2">
      <c r="H690" s="200"/>
      <c r="K690" s="200"/>
      <c r="N690" s="200"/>
    </row>
    <row r="691" spans="8:14" ht="12.75" x14ac:dyDescent="0.2">
      <c r="H691" s="200"/>
      <c r="K691" s="200"/>
      <c r="N691" s="200"/>
    </row>
    <row r="692" spans="8:14" ht="12.75" x14ac:dyDescent="0.2">
      <c r="H692" s="200"/>
      <c r="K692" s="200"/>
      <c r="N692" s="200"/>
    </row>
    <row r="693" spans="8:14" ht="12.75" x14ac:dyDescent="0.2">
      <c r="H693" s="200"/>
      <c r="K693" s="200"/>
      <c r="N693" s="200"/>
    </row>
    <row r="694" spans="8:14" ht="12.75" x14ac:dyDescent="0.2">
      <c r="H694" s="200"/>
      <c r="K694" s="200"/>
      <c r="N694" s="200"/>
    </row>
    <row r="695" spans="8:14" ht="12.75" x14ac:dyDescent="0.2">
      <c r="H695" s="200"/>
      <c r="K695" s="200"/>
      <c r="N695" s="200"/>
    </row>
    <row r="696" spans="8:14" ht="12.75" x14ac:dyDescent="0.2">
      <c r="H696" s="200"/>
      <c r="K696" s="200"/>
      <c r="N696" s="200"/>
    </row>
    <row r="697" spans="8:14" ht="12.75" x14ac:dyDescent="0.2">
      <c r="H697" s="200"/>
      <c r="K697" s="200"/>
      <c r="N697" s="200"/>
    </row>
    <row r="698" spans="8:14" ht="12.75" x14ac:dyDescent="0.2">
      <c r="H698" s="200"/>
      <c r="K698" s="200"/>
      <c r="N698" s="200"/>
    </row>
    <row r="699" spans="8:14" ht="12.75" x14ac:dyDescent="0.2">
      <c r="H699" s="200"/>
      <c r="K699" s="200"/>
      <c r="N699" s="200"/>
    </row>
    <row r="700" spans="8:14" ht="12.75" x14ac:dyDescent="0.2">
      <c r="H700" s="200"/>
      <c r="K700" s="200"/>
      <c r="N700" s="200"/>
    </row>
    <row r="701" spans="8:14" ht="12.75" x14ac:dyDescent="0.2">
      <c r="H701" s="200"/>
      <c r="K701" s="200"/>
      <c r="N701" s="200"/>
    </row>
    <row r="702" spans="8:14" ht="12.75" x14ac:dyDescent="0.2">
      <c r="H702" s="200"/>
      <c r="K702" s="200"/>
      <c r="N702" s="200"/>
    </row>
    <row r="703" spans="8:14" ht="12.75" x14ac:dyDescent="0.2">
      <c r="H703" s="200"/>
      <c r="K703" s="200"/>
      <c r="N703" s="200"/>
    </row>
    <row r="704" spans="8:14" ht="12.75" x14ac:dyDescent="0.2">
      <c r="H704" s="200"/>
      <c r="K704" s="200"/>
      <c r="N704" s="200"/>
    </row>
    <row r="705" spans="8:14" ht="12.75" x14ac:dyDescent="0.2">
      <c r="H705" s="200"/>
      <c r="K705" s="200"/>
      <c r="N705" s="200"/>
    </row>
    <row r="706" spans="8:14" ht="12.75" x14ac:dyDescent="0.2">
      <c r="H706" s="200"/>
      <c r="K706" s="200"/>
      <c r="N706" s="200"/>
    </row>
    <row r="707" spans="8:14" ht="12.75" x14ac:dyDescent="0.2">
      <c r="H707" s="200"/>
      <c r="K707" s="200"/>
      <c r="N707" s="200"/>
    </row>
    <row r="708" spans="8:14" ht="12.75" x14ac:dyDescent="0.2">
      <c r="H708" s="200"/>
      <c r="K708" s="200"/>
      <c r="N708" s="200"/>
    </row>
    <row r="709" spans="8:14" ht="12.75" x14ac:dyDescent="0.2">
      <c r="H709" s="200"/>
      <c r="K709" s="200"/>
      <c r="N709" s="200"/>
    </row>
    <row r="710" spans="8:14" ht="12.75" x14ac:dyDescent="0.2">
      <c r="H710" s="200"/>
      <c r="K710" s="200"/>
      <c r="N710" s="200"/>
    </row>
    <row r="711" spans="8:14" ht="12.75" x14ac:dyDescent="0.2">
      <c r="H711" s="200"/>
      <c r="K711" s="200"/>
      <c r="N711" s="200"/>
    </row>
    <row r="712" spans="8:14" ht="12.75" x14ac:dyDescent="0.2">
      <c r="H712" s="200"/>
      <c r="K712" s="200"/>
      <c r="N712" s="200"/>
    </row>
    <row r="713" spans="8:14" ht="12.75" x14ac:dyDescent="0.2">
      <c r="H713" s="200"/>
      <c r="K713" s="200"/>
      <c r="N713" s="200"/>
    </row>
    <row r="714" spans="8:14" ht="12.75" x14ac:dyDescent="0.2">
      <c r="H714" s="200"/>
      <c r="K714" s="200"/>
      <c r="N714" s="200"/>
    </row>
    <row r="715" spans="8:14" ht="12.75" x14ac:dyDescent="0.2">
      <c r="H715" s="200"/>
      <c r="K715" s="200"/>
      <c r="N715" s="200"/>
    </row>
    <row r="716" spans="8:14" ht="12.75" x14ac:dyDescent="0.2">
      <c r="H716" s="200"/>
      <c r="K716" s="200"/>
      <c r="N716" s="200"/>
    </row>
    <row r="717" spans="8:14" ht="12.75" x14ac:dyDescent="0.2">
      <c r="H717" s="200"/>
      <c r="K717" s="200"/>
      <c r="N717" s="200"/>
    </row>
    <row r="718" spans="8:14" ht="12.75" x14ac:dyDescent="0.2">
      <c r="H718" s="200"/>
      <c r="K718" s="200"/>
      <c r="N718" s="200"/>
    </row>
    <row r="719" spans="8:14" ht="12.75" x14ac:dyDescent="0.2">
      <c r="H719" s="200"/>
      <c r="K719" s="200"/>
      <c r="N719" s="200"/>
    </row>
    <row r="720" spans="8:14" ht="12.75" x14ac:dyDescent="0.2">
      <c r="H720" s="200"/>
      <c r="K720" s="200"/>
      <c r="N720" s="200"/>
    </row>
    <row r="721" spans="8:14" ht="12.75" x14ac:dyDescent="0.2">
      <c r="H721" s="200"/>
      <c r="K721" s="200"/>
      <c r="N721" s="200"/>
    </row>
    <row r="722" spans="8:14" ht="12.75" x14ac:dyDescent="0.2">
      <c r="H722" s="200"/>
      <c r="K722" s="200"/>
      <c r="N722" s="200"/>
    </row>
    <row r="723" spans="8:14" ht="12.75" x14ac:dyDescent="0.2">
      <c r="H723" s="200"/>
      <c r="K723" s="200"/>
      <c r="N723" s="200"/>
    </row>
    <row r="724" spans="8:14" ht="12.75" x14ac:dyDescent="0.2">
      <c r="H724" s="200"/>
      <c r="K724" s="200"/>
      <c r="N724" s="200"/>
    </row>
    <row r="725" spans="8:14" ht="12.75" x14ac:dyDescent="0.2">
      <c r="H725" s="200"/>
      <c r="K725" s="200"/>
      <c r="N725" s="200"/>
    </row>
    <row r="726" spans="8:14" ht="12.75" x14ac:dyDescent="0.2">
      <c r="H726" s="200"/>
      <c r="K726" s="200"/>
      <c r="N726" s="200"/>
    </row>
    <row r="727" spans="8:14" ht="12.75" x14ac:dyDescent="0.2">
      <c r="H727" s="200"/>
      <c r="K727" s="200"/>
      <c r="N727" s="200"/>
    </row>
    <row r="728" spans="8:14" ht="12.75" x14ac:dyDescent="0.2">
      <c r="H728" s="200"/>
      <c r="K728" s="200"/>
      <c r="N728" s="200"/>
    </row>
    <row r="729" spans="8:14" ht="12.75" x14ac:dyDescent="0.2">
      <c r="H729" s="200"/>
      <c r="K729" s="200"/>
      <c r="N729" s="200"/>
    </row>
    <row r="730" spans="8:14" ht="12.75" x14ac:dyDescent="0.2">
      <c r="H730" s="200"/>
      <c r="K730" s="200"/>
      <c r="N730" s="200"/>
    </row>
    <row r="731" spans="8:14" ht="12.75" x14ac:dyDescent="0.2">
      <c r="H731" s="200"/>
      <c r="K731" s="200"/>
      <c r="N731" s="200"/>
    </row>
    <row r="732" spans="8:14" ht="12.75" x14ac:dyDescent="0.2">
      <c r="H732" s="200"/>
      <c r="K732" s="200"/>
      <c r="N732" s="200"/>
    </row>
    <row r="733" spans="8:14" ht="12.75" x14ac:dyDescent="0.2">
      <c r="H733" s="200"/>
      <c r="K733" s="200"/>
      <c r="N733" s="200"/>
    </row>
    <row r="734" spans="8:14" ht="12.75" x14ac:dyDescent="0.2">
      <c r="H734" s="200"/>
      <c r="K734" s="200"/>
      <c r="N734" s="200"/>
    </row>
    <row r="735" spans="8:14" ht="12.75" x14ac:dyDescent="0.2">
      <c r="H735" s="200"/>
      <c r="K735" s="200"/>
      <c r="N735" s="200"/>
    </row>
    <row r="736" spans="8:14" ht="12.75" x14ac:dyDescent="0.2">
      <c r="H736" s="200"/>
      <c r="K736" s="200"/>
      <c r="N736" s="200"/>
    </row>
    <row r="737" spans="8:14" ht="12.75" x14ac:dyDescent="0.2">
      <c r="H737" s="200"/>
      <c r="K737" s="200"/>
      <c r="N737" s="200"/>
    </row>
    <row r="738" spans="8:14" ht="12.75" x14ac:dyDescent="0.2">
      <c r="H738" s="200"/>
      <c r="K738" s="200"/>
      <c r="N738" s="200"/>
    </row>
    <row r="739" spans="8:14" ht="12.75" x14ac:dyDescent="0.2">
      <c r="H739" s="200"/>
      <c r="K739" s="200"/>
      <c r="N739" s="200"/>
    </row>
    <row r="740" spans="8:14" ht="12.75" x14ac:dyDescent="0.2">
      <c r="H740" s="200"/>
      <c r="K740" s="200"/>
      <c r="N740" s="200"/>
    </row>
    <row r="741" spans="8:14" ht="12.75" x14ac:dyDescent="0.2">
      <c r="H741" s="200"/>
      <c r="K741" s="200"/>
      <c r="N741" s="200"/>
    </row>
    <row r="742" spans="8:14" ht="12.75" x14ac:dyDescent="0.2">
      <c r="H742" s="200"/>
      <c r="K742" s="200"/>
      <c r="N742" s="200"/>
    </row>
    <row r="743" spans="8:14" ht="12.75" x14ac:dyDescent="0.2">
      <c r="H743" s="200"/>
      <c r="K743" s="200"/>
      <c r="N743" s="200"/>
    </row>
    <row r="744" spans="8:14" ht="12.75" x14ac:dyDescent="0.2">
      <c r="H744" s="200"/>
      <c r="K744" s="200"/>
      <c r="N744" s="200"/>
    </row>
    <row r="745" spans="8:14" ht="12.75" x14ac:dyDescent="0.2">
      <c r="H745" s="200"/>
      <c r="K745" s="200"/>
      <c r="N745" s="200"/>
    </row>
    <row r="746" spans="8:14" ht="12.75" x14ac:dyDescent="0.2">
      <c r="H746" s="200"/>
      <c r="K746" s="200"/>
      <c r="N746" s="200"/>
    </row>
    <row r="747" spans="8:14" ht="12.75" x14ac:dyDescent="0.2">
      <c r="H747" s="200"/>
      <c r="K747" s="200"/>
      <c r="N747" s="200"/>
    </row>
    <row r="748" spans="8:14" ht="12.75" x14ac:dyDescent="0.2">
      <c r="H748" s="200"/>
      <c r="K748" s="200"/>
      <c r="N748" s="200"/>
    </row>
    <row r="749" spans="8:14" ht="12.75" x14ac:dyDescent="0.2">
      <c r="H749" s="200"/>
      <c r="K749" s="200"/>
      <c r="N749" s="200"/>
    </row>
    <row r="750" spans="8:14" ht="12.75" x14ac:dyDescent="0.2">
      <c r="H750" s="200"/>
      <c r="K750" s="200"/>
      <c r="N750" s="200"/>
    </row>
    <row r="751" spans="8:14" ht="12.75" x14ac:dyDescent="0.2">
      <c r="H751" s="200"/>
      <c r="K751" s="200"/>
      <c r="N751" s="200"/>
    </row>
    <row r="752" spans="8:14" ht="12.75" x14ac:dyDescent="0.2">
      <c r="H752" s="200"/>
      <c r="K752" s="200"/>
      <c r="N752" s="200"/>
    </row>
    <row r="753" spans="8:14" ht="12.75" x14ac:dyDescent="0.2">
      <c r="H753" s="200"/>
      <c r="K753" s="200"/>
      <c r="N753" s="200"/>
    </row>
    <row r="754" spans="8:14" ht="12.75" x14ac:dyDescent="0.2">
      <c r="H754" s="200"/>
      <c r="K754" s="200"/>
      <c r="N754" s="200"/>
    </row>
    <row r="755" spans="8:14" ht="12.75" x14ac:dyDescent="0.2">
      <c r="H755" s="200"/>
      <c r="K755" s="200"/>
      <c r="N755" s="200"/>
    </row>
    <row r="756" spans="8:14" ht="12.75" x14ac:dyDescent="0.2">
      <c r="H756" s="200"/>
      <c r="K756" s="200"/>
      <c r="N756" s="200"/>
    </row>
    <row r="757" spans="8:14" ht="12.75" x14ac:dyDescent="0.2">
      <c r="H757" s="200"/>
      <c r="K757" s="200"/>
      <c r="N757" s="200"/>
    </row>
    <row r="758" spans="8:14" ht="12.75" x14ac:dyDescent="0.2">
      <c r="H758" s="200"/>
      <c r="K758" s="200"/>
      <c r="N758" s="200"/>
    </row>
    <row r="759" spans="8:14" ht="12.75" x14ac:dyDescent="0.2">
      <c r="H759" s="200"/>
      <c r="K759" s="200"/>
      <c r="N759" s="200"/>
    </row>
    <row r="760" spans="8:14" ht="12.75" x14ac:dyDescent="0.2">
      <c r="H760" s="200"/>
      <c r="K760" s="200"/>
      <c r="N760" s="200"/>
    </row>
    <row r="761" spans="8:14" ht="12.75" x14ac:dyDescent="0.2">
      <c r="H761" s="200"/>
      <c r="K761" s="200"/>
      <c r="N761" s="200"/>
    </row>
    <row r="762" spans="8:14" ht="12.75" x14ac:dyDescent="0.2">
      <c r="H762" s="200"/>
      <c r="K762" s="200"/>
      <c r="N762" s="200"/>
    </row>
    <row r="763" spans="8:14" ht="12.75" x14ac:dyDescent="0.2">
      <c r="H763" s="200"/>
      <c r="K763" s="200"/>
      <c r="N763" s="200"/>
    </row>
    <row r="764" spans="8:14" ht="12.75" x14ac:dyDescent="0.2">
      <c r="H764" s="200"/>
      <c r="K764" s="200"/>
      <c r="N764" s="200"/>
    </row>
    <row r="765" spans="8:14" ht="12.75" x14ac:dyDescent="0.2">
      <c r="H765" s="200"/>
      <c r="K765" s="200"/>
      <c r="N765" s="200"/>
    </row>
    <row r="766" spans="8:14" ht="12.75" x14ac:dyDescent="0.2">
      <c r="H766" s="200"/>
      <c r="K766" s="200"/>
      <c r="N766" s="200"/>
    </row>
    <row r="767" spans="8:14" ht="12.75" x14ac:dyDescent="0.2">
      <c r="H767" s="200"/>
      <c r="K767" s="200"/>
      <c r="N767" s="200"/>
    </row>
    <row r="768" spans="8:14" ht="12.75" x14ac:dyDescent="0.2">
      <c r="H768" s="200"/>
      <c r="K768" s="200"/>
      <c r="N768" s="200"/>
    </row>
    <row r="769" spans="8:14" ht="12.75" x14ac:dyDescent="0.2">
      <c r="H769" s="200"/>
      <c r="K769" s="200"/>
      <c r="N769" s="200"/>
    </row>
    <row r="770" spans="8:14" ht="12.75" x14ac:dyDescent="0.2">
      <c r="H770" s="200"/>
      <c r="K770" s="200"/>
      <c r="N770" s="200"/>
    </row>
    <row r="771" spans="8:14" ht="12.75" x14ac:dyDescent="0.2">
      <c r="H771" s="200"/>
      <c r="K771" s="200"/>
      <c r="N771" s="200"/>
    </row>
    <row r="772" spans="8:14" ht="12.75" x14ac:dyDescent="0.2">
      <c r="H772" s="200"/>
      <c r="K772" s="200"/>
      <c r="N772" s="200"/>
    </row>
    <row r="773" spans="8:14" ht="12.75" x14ac:dyDescent="0.2">
      <c r="H773" s="200"/>
      <c r="K773" s="200"/>
      <c r="N773" s="200"/>
    </row>
    <row r="774" spans="8:14" ht="12.75" x14ac:dyDescent="0.2">
      <c r="H774" s="200"/>
      <c r="K774" s="200"/>
      <c r="N774" s="200"/>
    </row>
    <row r="775" spans="8:14" ht="12.75" x14ac:dyDescent="0.2">
      <c r="H775" s="200"/>
      <c r="K775" s="200"/>
      <c r="N775" s="200"/>
    </row>
    <row r="776" spans="8:14" ht="12.75" x14ac:dyDescent="0.2">
      <c r="H776" s="200"/>
      <c r="K776" s="200"/>
      <c r="N776" s="200"/>
    </row>
    <row r="777" spans="8:14" ht="12.75" x14ac:dyDescent="0.2">
      <c r="H777" s="200"/>
      <c r="K777" s="200"/>
      <c r="N777" s="200"/>
    </row>
    <row r="778" spans="8:14" ht="12.75" x14ac:dyDescent="0.2">
      <c r="H778" s="200"/>
      <c r="K778" s="200"/>
      <c r="N778" s="200"/>
    </row>
    <row r="779" spans="8:14" ht="12.75" x14ac:dyDescent="0.2">
      <c r="H779" s="200"/>
      <c r="K779" s="200"/>
      <c r="N779" s="200"/>
    </row>
    <row r="780" spans="8:14" ht="12.75" x14ac:dyDescent="0.2">
      <c r="H780" s="200"/>
      <c r="K780" s="200"/>
      <c r="N780" s="200"/>
    </row>
    <row r="781" spans="8:14" ht="12.75" x14ac:dyDescent="0.2">
      <c r="H781" s="200"/>
      <c r="K781" s="200"/>
      <c r="N781" s="200"/>
    </row>
    <row r="782" spans="8:14" ht="12.75" x14ac:dyDescent="0.2">
      <c r="H782" s="200"/>
      <c r="K782" s="200"/>
      <c r="N782" s="200"/>
    </row>
    <row r="783" spans="8:14" ht="12.75" x14ac:dyDescent="0.2">
      <c r="H783" s="200"/>
      <c r="K783" s="200"/>
      <c r="N783" s="200"/>
    </row>
    <row r="784" spans="8:14" ht="12.75" x14ac:dyDescent="0.2">
      <c r="H784" s="200"/>
      <c r="K784" s="200"/>
      <c r="N784" s="200"/>
    </row>
    <row r="785" spans="8:14" ht="12.75" x14ac:dyDescent="0.2">
      <c r="H785" s="200"/>
      <c r="K785" s="200"/>
      <c r="N785" s="200"/>
    </row>
    <row r="786" spans="8:14" ht="12.75" x14ac:dyDescent="0.2">
      <c r="H786" s="200"/>
      <c r="K786" s="200"/>
      <c r="N786" s="200"/>
    </row>
    <row r="787" spans="8:14" ht="12.75" x14ac:dyDescent="0.2">
      <c r="H787" s="200"/>
      <c r="K787" s="200"/>
      <c r="N787" s="200"/>
    </row>
    <row r="788" spans="8:14" ht="12.75" x14ac:dyDescent="0.2">
      <c r="H788" s="200"/>
      <c r="K788" s="200"/>
      <c r="N788" s="200"/>
    </row>
    <row r="789" spans="8:14" ht="12.75" x14ac:dyDescent="0.2">
      <c r="H789" s="200"/>
      <c r="K789" s="200"/>
      <c r="N789" s="200"/>
    </row>
    <row r="790" spans="8:14" ht="12.75" x14ac:dyDescent="0.2">
      <c r="H790" s="200"/>
      <c r="K790" s="200"/>
      <c r="N790" s="200"/>
    </row>
    <row r="791" spans="8:14" ht="12.75" x14ac:dyDescent="0.2">
      <c r="H791" s="200"/>
      <c r="K791" s="200"/>
      <c r="N791" s="200"/>
    </row>
    <row r="792" spans="8:14" ht="12.75" x14ac:dyDescent="0.2">
      <c r="H792" s="200"/>
      <c r="K792" s="200"/>
      <c r="N792" s="200"/>
    </row>
    <row r="793" spans="8:14" ht="12.75" x14ac:dyDescent="0.2">
      <c r="H793" s="200"/>
      <c r="K793" s="200"/>
      <c r="N793" s="200"/>
    </row>
    <row r="794" spans="8:14" ht="12.75" x14ac:dyDescent="0.2">
      <c r="H794" s="200"/>
      <c r="K794" s="200"/>
      <c r="N794" s="200"/>
    </row>
    <row r="795" spans="8:14" ht="12.75" x14ac:dyDescent="0.2">
      <c r="H795" s="200"/>
      <c r="K795" s="200"/>
      <c r="N795" s="200"/>
    </row>
    <row r="796" spans="8:14" ht="12.75" x14ac:dyDescent="0.2">
      <c r="H796" s="200"/>
      <c r="K796" s="200"/>
      <c r="N796" s="200"/>
    </row>
    <row r="797" spans="8:14" ht="12.75" x14ac:dyDescent="0.2">
      <c r="H797" s="200"/>
      <c r="K797" s="200"/>
      <c r="N797" s="200"/>
    </row>
    <row r="798" spans="8:14" ht="12.75" x14ac:dyDescent="0.2">
      <c r="H798" s="200"/>
      <c r="K798" s="200"/>
      <c r="N798" s="200"/>
    </row>
    <row r="799" spans="8:14" ht="12.75" x14ac:dyDescent="0.2">
      <c r="H799" s="200"/>
      <c r="K799" s="200"/>
      <c r="N799" s="200"/>
    </row>
    <row r="800" spans="8:14" ht="12.75" x14ac:dyDescent="0.2">
      <c r="H800" s="200"/>
      <c r="K800" s="200"/>
      <c r="N800" s="200"/>
    </row>
    <row r="801" spans="8:14" ht="12.75" x14ac:dyDescent="0.2">
      <c r="H801" s="200"/>
      <c r="K801" s="200"/>
      <c r="N801" s="200"/>
    </row>
    <row r="802" spans="8:14" ht="12.75" x14ac:dyDescent="0.2">
      <c r="H802" s="200"/>
      <c r="K802" s="200"/>
      <c r="N802" s="200"/>
    </row>
    <row r="803" spans="8:14" ht="12.75" x14ac:dyDescent="0.2">
      <c r="H803" s="200"/>
      <c r="K803" s="200"/>
      <c r="N803" s="200"/>
    </row>
    <row r="804" spans="8:14" ht="12.75" x14ac:dyDescent="0.2">
      <c r="H804" s="200"/>
      <c r="K804" s="200"/>
      <c r="N804" s="200"/>
    </row>
    <row r="805" spans="8:14" ht="12.75" x14ac:dyDescent="0.2">
      <c r="H805" s="200"/>
      <c r="K805" s="200"/>
      <c r="N805" s="200"/>
    </row>
    <row r="806" spans="8:14" ht="12.75" x14ac:dyDescent="0.2">
      <c r="H806" s="200"/>
      <c r="K806" s="200"/>
      <c r="N806" s="200"/>
    </row>
    <row r="807" spans="8:14" ht="12.75" x14ac:dyDescent="0.2">
      <c r="H807" s="200"/>
      <c r="K807" s="200"/>
      <c r="N807" s="200"/>
    </row>
    <row r="808" spans="8:14" ht="12.75" x14ac:dyDescent="0.2">
      <c r="H808" s="200"/>
      <c r="K808" s="200"/>
      <c r="N808" s="200"/>
    </row>
    <row r="809" spans="8:14" ht="12.75" x14ac:dyDescent="0.2">
      <c r="H809" s="200"/>
      <c r="K809" s="200"/>
      <c r="N809" s="200"/>
    </row>
    <row r="810" spans="8:14" ht="12.75" x14ac:dyDescent="0.2">
      <c r="H810" s="200"/>
      <c r="K810" s="200"/>
      <c r="N810" s="200"/>
    </row>
    <row r="811" spans="8:14" ht="12.75" x14ac:dyDescent="0.2">
      <c r="H811" s="200"/>
      <c r="K811" s="200"/>
      <c r="N811" s="200"/>
    </row>
    <row r="812" spans="8:14" ht="12.75" x14ac:dyDescent="0.2">
      <c r="H812" s="200"/>
      <c r="K812" s="200"/>
      <c r="N812" s="200"/>
    </row>
    <row r="813" spans="8:14" ht="12.75" x14ac:dyDescent="0.2">
      <c r="H813" s="200"/>
      <c r="K813" s="200"/>
      <c r="N813" s="200"/>
    </row>
    <row r="814" spans="8:14" ht="12.75" x14ac:dyDescent="0.2">
      <c r="H814" s="200"/>
      <c r="K814" s="200"/>
      <c r="N814" s="200"/>
    </row>
    <row r="815" spans="8:14" ht="12.75" x14ac:dyDescent="0.2">
      <c r="H815" s="200"/>
      <c r="K815" s="200"/>
      <c r="N815" s="200"/>
    </row>
    <row r="816" spans="8:14" ht="12.75" x14ac:dyDescent="0.2">
      <c r="H816" s="200"/>
      <c r="K816" s="200"/>
      <c r="N816" s="200"/>
    </row>
    <row r="817" spans="8:14" ht="12.75" x14ac:dyDescent="0.2">
      <c r="H817" s="200"/>
      <c r="K817" s="200"/>
      <c r="N817" s="200"/>
    </row>
    <row r="818" spans="8:14" ht="12.75" x14ac:dyDescent="0.2">
      <c r="H818" s="200"/>
      <c r="K818" s="200"/>
      <c r="N818" s="200"/>
    </row>
    <row r="819" spans="8:14" ht="12.75" x14ac:dyDescent="0.2">
      <c r="H819" s="200"/>
      <c r="K819" s="200"/>
      <c r="N819" s="200"/>
    </row>
    <row r="820" spans="8:14" ht="12.75" x14ac:dyDescent="0.2">
      <c r="H820" s="200"/>
      <c r="K820" s="200"/>
      <c r="N820" s="200"/>
    </row>
    <row r="821" spans="8:14" ht="12.75" x14ac:dyDescent="0.2">
      <c r="H821" s="200"/>
      <c r="K821" s="200"/>
      <c r="N821" s="200"/>
    </row>
    <row r="822" spans="8:14" ht="12.75" x14ac:dyDescent="0.2">
      <c r="H822" s="200"/>
      <c r="K822" s="200"/>
      <c r="N822" s="200"/>
    </row>
    <row r="823" spans="8:14" ht="12.75" x14ac:dyDescent="0.2">
      <c r="H823" s="200"/>
      <c r="K823" s="200"/>
      <c r="N823" s="200"/>
    </row>
    <row r="824" spans="8:14" ht="12.75" x14ac:dyDescent="0.2">
      <c r="H824" s="200"/>
      <c r="K824" s="200"/>
      <c r="N824" s="200"/>
    </row>
    <row r="825" spans="8:14" ht="12.75" x14ac:dyDescent="0.2">
      <c r="H825" s="200"/>
      <c r="K825" s="200"/>
      <c r="N825" s="200"/>
    </row>
    <row r="826" spans="8:14" ht="12.75" x14ac:dyDescent="0.2">
      <c r="H826" s="200"/>
      <c r="K826" s="200"/>
      <c r="N826" s="200"/>
    </row>
    <row r="827" spans="8:14" ht="12.75" x14ac:dyDescent="0.2">
      <c r="H827" s="200"/>
      <c r="K827" s="200"/>
      <c r="N827" s="200"/>
    </row>
    <row r="828" spans="8:14" ht="12.75" x14ac:dyDescent="0.2">
      <c r="H828" s="200"/>
      <c r="K828" s="200"/>
      <c r="N828" s="200"/>
    </row>
    <row r="829" spans="8:14" ht="12.75" x14ac:dyDescent="0.2">
      <c r="H829" s="200"/>
      <c r="K829" s="200"/>
      <c r="N829" s="200"/>
    </row>
    <row r="830" spans="8:14" ht="12.75" x14ac:dyDescent="0.2">
      <c r="H830" s="200"/>
      <c r="K830" s="200"/>
      <c r="N830" s="200"/>
    </row>
    <row r="831" spans="8:14" ht="12.75" x14ac:dyDescent="0.2">
      <c r="H831" s="200"/>
      <c r="K831" s="200"/>
      <c r="N831" s="200"/>
    </row>
    <row r="832" spans="8:14" ht="12.75" x14ac:dyDescent="0.2">
      <c r="H832" s="200"/>
      <c r="K832" s="200"/>
      <c r="N832" s="200"/>
    </row>
    <row r="833" spans="8:14" ht="12.75" x14ac:dyDescent="0.2">
      <c r="H833" s="200"/>
      <c r="K833" s="200"/>
      <c r="N833" s="200"/>
    </row>
    <row r="834" spans="8:14" ht="12.75" x14ac:dyDescent="0.2">
      <c r="H834" s="200"/>
      <c r="K834" s="200"/>
      <c r="N834" s="200"/>
    </row>
    <row r="835" spans="8:14" ht="12.75" x14ac:dyDescent="0.2">
      <c r="H835" s="200"/>
      <c r="K835" s="200"/>
      <c r="N835" s="200"/>
    </row>
    <row r="836" spans="8:14" ht="12.75" x14ac:dyDescent="0.2">
      <c r="H836" s="200"/>
      <c r="K836" s="200"/>
      <c r="N836" s="200"/>
    </row>
    <row r="837" spans="8:14" ht="12.75" x14ac:dyDescent="0.2">
      <c r="H837" s="200"/>
      <c r="K837" s="200"/>
      <c r="N837" s="200"/>
    </row>
    <row r="838" spans="8:14" ht="12.75" x14ac:dyDescent="0.2">
      <c r="H838" s="200"/>
      <c r="K838" s="200"/>
      <c r="N838" s="200"/>
    </row>
    <row r="839" spans="8:14" ht="12.75" x14ac:dyDescent="0.2">
      <c r="H839" s="200"/>
      <c r="K839" s="200"/>
      <c r="N839" s="200"/>
    </row>
    <row r="840" spans="8:14" ht="12.75" x14ac:dyDescent="0.2">
      <c r="H840" s="200"/>
      <c r="K840" s="200"/>
      <c r="N840" s="200"/>
    </row>
    <row r="841" spans="8:14" ht="12.75" x14ac:dyDescent="0.2">
      <c r="H841" s="200"/>
      <c r="K841" s="200"/>
      <c r="N841" s="200"/>
    </row>
    <row r="842" spans="8:14" ht="12.75" x14ac:dyDescent="0.2">
      <c r="H842" s="200"/>
      <c r="K842" s="200"/>
      <c r="N842" s="200"/>
    </row>
    <row r="843" spans="8:14" ht="12.75" x14ac:dyDescent="0.2">
      <c r="H843" s="200"/>
      <c r="K843" s="200"/>
      <c r="N843" s="200"/>
    </row>
    <row r="844" spans="8:14" ht="12.75" x14ac:dyDescent="0.2">
      <c r="H844" s="200"/>
      <c r="K844" s="200"/>
      <c r="N844" s="200"/>
    </row>
    <row r="845" spans="8:14" ht="12.75" x14ac:dyDescent="0.2">
      <c r="H845" s="200"/>
      <c r="K845" s="200"/>
      <c r="N845" s="200"/>
    </row>
    <row r="846" spans="8:14" ht="12.75" x14ac:dyDescent="0.2">
      <c r="H846" s="200"/>
      <c r="K846" s="200"/>
      <c r="N846" s="200"/>
    </row>
    <row r="847" spans="8:14" ht="12.75" x14ac:dyDescent="0.2">
      <c r="H847" s="200"/>
      <c r="K847" s="200"/>
      <c r="N847" s="200"/>
    </row>
    <row r="848" spans="8:14" ht="12.75" x14ac:dyDescent="0.2">
      <c r="H848" s="200"/>
      <c r="K848" s="200"/>
      <c r="N848" s="200"/>
    </row>
    <row r="849" spans="8:14" ht="12.75" x14ac:dyDescent="0.2">
      <c r="H849" s="200"/>
      <c r="K849" s="200"/>
      <c r="N849" s="200"/>
    </row>
    <row r="850" spans="8:14" ht="12.75" x14ac:dyDescent="0.2">
      <c r="H850" s="200"/>
      <c r="K850" s="200"/>
      <c r="N850" s="200"/>
    </row>
    <row r="851" spans="8:14" ht="12.75" x14ac:dyDescent="0.2">
      <c r="H851" s="200"/>
      <c r="K851" s="200"/>
      <c r="N851" s="200"/>
    </row>
    <row r="852" spans="8:14" ht="12.75" x14ac:dyDescent="0.2">
      <c r="H852" s="200"/>
      <c r="K852" s="200"/>
      <c r="N852" s="200"/>
    </row>
    <row r="853" spans="8:14" ht="12.75" x14ac:dyDescent="0.2">
      <c r="H853" s="200"/>
      <c r="K853" s="200"/>
      <c r="N853" s="200"/>
    </row>
    <row r="854" spans="8:14" ht="12.75" x14ac:dyDescent="0.2">
      <c r="H854" s="200"/>
      <c r="K854" s="200"/>
      <c r="N854" s="200"/>
    </row>
    <row r="855" spans="8:14" ht="12.75" x14ac:dyDescent="0.2">
      <c r="H855" s="200"/>
      <c r="K855" s="200"/>
      <c r="N855" s="200"/>
    </row>
    <row r="856" spans="8:14" ht="12.75" x14ac:dyDescent="0.2">
      <c r="H856" s="200"/>
      <c r="K856" s="200"/>
      <c r="N856" s="200"/>
    </row>
    <row r="857" spans="8:14" ht="12.75" x14ac:dyDescent="0.2">
      <c r="H857" s="200"/>
      <c r="K857" s="200"/>
      <c r="N857" s="200"/>
    </row>
    <row r="858" spans="8:14" ht="12.75" x14ac:dyDescent="0.2">
      <c r="H858" s="200"/>
      <c r="K858" s="200"/>
      <c r="N858" s="200"/>
    </row>
    <row r="859" spans="8:14" ht="12.75" x14ac:dyDescent="0.2">
      <c r="H859" s="200"/>
      <c r="K859" s="200"/>
      <c r="N859" s="200"/>
    </row>
    <row r="860" spans="8:14" ht="12.75" x14ac:dyDescent="0.2">
      <c r="H860" s="200"/>
      <c r="K860" s="200"/>
      <c r="N860" s="200"/>
    </row>
    <row r="861" spans="8:14" ht="12.75" x14ac:dyDescent="0.2">
      <c r="H861" s="200"/>
      <c r="K861" s="200"/>
      <c r="N861" s="200"/>
    </row>
    <row r="862" spans="8:14" ht="12.75" x14ac:dyDescent="0.2">
      <c r="H862" s="200"/>
      <c r="K862" s="200"/>
      <c r="N862" s="200"/>
    </row>
    <row r="863" spans="8:14" ht="12.75" x14ac:dyDescent="0.2">
      <c r="H863" s="200"/>
      <c r="K863" s="200"/>
      <c r="N863" s="200"/>
    </row>
    <row r="864" spans="8:14" ht="12.75" x14ac:dyDescent="0.2">
      <c r="H864" s="200"/>
      <c r="K864" s="200"/>
      <c r="N864" s="200"/>
    </row>
    <row r="865" spans="8:14" ht="12.75" x14ac:dyDescent="0.2">
      <c r="H865" s="200"/>
      <c r="K865" s="200"/>
      <c r="N865" s="200"/>
    </row>
    <row r="866" spans="8:14" ht="12.75" x14ac:dyDescent="0.2">
      <c r="H866" s="200"/>
      <c r="K866" s="200"/>
      <c r="N866" s="200"/>
    </row>
    <row r="867" spans="8:14" ht="12.75" x14ac:dyDescent="0.2">
      <c r="H867" s="200"/>
      <c r="K867" s="200"/>
      <c r="N867" s="200"/>
    </row>
    <row r="868" spans="8:14" ht="12.75" x14ac:dyDescent="0.2">
      <c r="H868" s="200"/>
      <c r="K868" s="200"/>
      <c r="N868" s="200"/>
    </row>
    <row r="869" spans="8:14" ht="12.75" x14ac:dyDescent="0.2">
      <c r="H869" s="200"/>
      <c r="K869" s="200"/>
      <c r="N869" s="200"/>
    </row>
    <row r="870" spans="8:14" ht="12.75" x14ac:dyDescent="0.2">
      <c r="H870" s="200"/>
      <c r="K870" s="200"/>
      <c r="N870" s="200"/>
    </row>
    <row r="871" spans="8:14" ht="12.75" x14ac:dyDescent="0.2">
      <c r="H871" s="200"/>
      <c r="K871" s="200"/>
      <c r="N871" s="200"/>
    </row>
    <row r="872" spans="8:14" ht="12.75" x14ac:dyDescent="0.2">
      <c r="H872" s="200"/>
      <c r="K872" s="200"/>
      <c r="N872" s="200"/>
    </row>
    <row r="873" spans="8:14" ht="12.75" x14ac:dyDescent="0.2">
      <c r="H873" s="200"/>
      <c r="K873" s="200"/>
      <c r="N873" s="200"/>
    </row>
    <row r="874" spans="8:14" ht="12.75" x14ac:dyDescent="0.2">
      <c r="H874" s="200"/>
      <c r="K874" s="200"/>
      <c r="N874" s="200"/>
    </row>
    <row r="875" spans="8:14" ht="12.75" x14ac:dyDescent="0.2">
      <c r="H875" s="200"/>
      <c r="K875" s="200"/>
      <c r="N875" s="200"/>
    </row>
    <row r="876" spans="8:14" ht="12.75" x14ac:dyDescent="0.2">
      <c r="H876" s="200"/>
      <c r="K876" s="200"/>
      <c r="N876" s="200"/>
    </row>
    <row r="877" spans="8:14" ht="12.75" x14ac:dyDescent="0.2">
      <c r="H877" s="200"/>
      <c r="K877" s="200"/>
      <c r="N877" s="200"/>
    </row>
    <row r="878" spans="8:14" ht="12.75" x14ac:dyDescent="0.2">
      <c r="H878" s="200"/>
      <c r="K878" s="200"/>
      <c r="N878" s="200"/>
    </row>
    <row r="879" spans="8:14" ht="12.75" x14ac:dyDescent="0.2">
      <c r="H879" s="200"/>
      <c r="K879" s="200"/>
      <c r="N879" s="200"/>
    </row>
    <row r="880" spans="8:14" ht="12.75" x14ac:dyDescent="0.2">
      <c r="H880" s="200"/>
      <c r="K880" s="200"/>
      <c r="N880" s="200"/>
    </row>
    <row r="881" spans="8:14" ht="12.75" x14ac:dyDescent="0.2">
      <c r="H881" s="200"/>
      <c r="K881" s="200"/>
      <c r="N881" s="200"/>
    </row>
    <row r="882" spans="8:14" ht="12.75" x14ac:dyDescent="0.2">
      <c r="H882" s="200"/>
      <c r="K882" s="200"/>
      <c r="N882" s="200"/>
    </row>
    <row r="883" spans="8:14" ht="12.75" x14ac:dyDescent="0.2">
      <c r="H883" s="200"/>
      <c r="K883" s="200"/>
      <c r="N883" s="200"/>
    </row>
    <row r="884" spans="8:14" ht="12.75" x14ac:dyDescent="0.2">
      <c r="H884" s="200"/>
      <c r="K884" s="200"/>
      <c r="N884" s="200"/>
    </row>
    <row r="885" spans="8:14" ht="12.75" x14ac:dyDescent="0.2">
      <c r="H885" s="200"/>
      <c r="K885" s="200"/>
      <c r="N885" s="200"/>
    </row>
    <row r="886" spans="8:14" ht="12.75" x14ac:dyDescent="0.2">
      <c r="H886" s="200"/>
      <c r="K886" s="200"/>
      <c r="N886" s="200"/>
    </row>
    <row r="887" spans="8:14" ht="12.75" x14ac:dyDescent="0.2">
      <c r="H887" s="200"/>
      <c r="K887" s="200"/>
      <c r="N887" s="200"/>
    </row>
    <row r="888" spans="8:14" ht="12.75" x14ac:dyDescent="0.2">
      <c r="H888" s="200"/>
      <c r="K888" s="200"/>
      <c r="N888" s="200"/>
    </row>
    <row r="889" spans="8:14" ht="12.75" x14ac:dyDescent="0.2">
      <c r="H889" s="200"/>
      <c r="K889" s="200"/>
      <c r="N889" s="200"/>
    </row>
    <row r="890" spans="8:14" ht="12.75" x14ac:dyDescent="0.2">
      <c r="H890" s="200"/>
      <c r="K890" s="200"/>
      <c r="N890" s="200"/>
    </row>
    <row r="891" spans="8:14" ht="12.75" x14ac:dyDescent="0.2">
      <c r="H891" s="200"/>
      <c r="K891" s="200"/>
      <c r="N891" s="200"/>
    </row>
    <row r="892" spans="8:14" ht="12.75" x14ac:dyDescent="0.2">
      <c r="H892" s="200"/>
      <c r="K892" s="200"/>
      <c r="N892" s="200"/>
    </row>
    <row r="893" spans="8:14" ht="12.75" x14ac:dyDescent="0.2">
      <c r="H893" s="200"/>
      <c r="K893" s="200"/>
      <c r="N893" s="200"/>
    </row>
    <row r="894" spans="8:14" ht="12.75" x14ac:dyDescent="0.2">
      <c r="H894" s="200"/>
      <c r="K894" s="200"/>
      <c r="N894" s="200"/>
    </row>
    <row r="895" spans="8:14" ht="12.75" x14ac:dyDescent="0.2">
      <c r="H895" s="200"/>
      <c r="K895" s="200"/>
      <c r="N895" s="200"/>
    </row>
    <row r="896" spans="8:14" ht="12.75" x14ac:dyDescent="0.2">
      <c r="H896" s="200"/>
      <c r="K896" s="200"/>
      <c r="N896" s="200"/>
    </row>
    <row r="897" spans="8:14" ht="12.75" x14ac:dyDescent="0.2">
      <c r="H897" s="200"/>
      <c r="K897" s="200"/>
      <c r="N897" s="200"/>
    </row>
    <row r="898" spans="8:14" ht="12.75" x14ac:dyDescent="0.2">
      <c r="H898" s="200"/>
      <c r="K898" s="200"/>
      <c r="N898" s="200"/>
    </row>
    <row r="899" spans="8:14" ht="12.75" x14ac:dyDescent="0.2">
      <c r="H899" s="200"/>
      <c r="K899" s="200"/>
      <c r="N899" s="200"/>
    </row>
    <row r="900" spans="8:14" ht="12.75" x14ac:dyDescent="0.2">
      <c r="H900" s="200"/>
      <c r="K900" s="200"/>
      <c r="N900" s="200"/>
    </row>
    <row r="901" spans="8:14" ht="12.75" x14ac:dyDescent="0.2">
      <c r="H901" s="200"/>
      <c r="K901" s="200"/>
      <c r="N901" s="200"/>
    </row>
    <row r="902" spans="8:14" ht="12.75" x14ac:dyDescent="0.2">
      <c r="H902" s="200"/>
      <c r="K902" s="200"/>
      <c r="N902" s="200"/>
    </row>
    <row r="903" spans="8:14" ht="12.75" x14ac:dyDescent="0.2">
      <c r="H903" s="200"/>
      <c r="K903" s="200"/>
      <c r="N903" s="200"/>
    </row>
    <row r="904" spans="8:14" ht="12.75" x14ac:dyDescent="0.2">
      <c r="H904" s="200"/>
      <c r="K904" s="200"/>
      <c r="N904" s="200"/>
    </row>
    <row r="905" spans="8:14" ht="12.75" x14ac:dyDescent="0.2">
      <c r="H905" s="200"/>
      <c r="K905" s="200"/>
      <c r="N905" s="200"/>
    </row>
    <row r="906" spans="8:14" ht="12.75" x14ac:dyDescent="0.2">
      <c r="H906" s="200"/>
      <c r="K906" s="200"/>
      <c r="N906" s="200"/>
    </row>
    <row r="907" spans="8:14" ht="12.75" x14ac:dyDescent="0.2">
      <c r="H907" s="200"/>
      <c r="K907" s="200"/>
      <c r="N907" s="200"/>
    </row>
    <row r="908" spans="8:14" ht="12.75" x14ac:dyDescent="0.2">
      <c r="H908" s="200"/>
      <c r="K908" s="200"/>
      <c r="N908" s="200"/>
    </row>
    <row r="909" spans="8:14" ht="12.75" x14ac:dyDescent="0.2">
      <c r="H909" s="200"/>
      <c r="K909" s="200"/>
      <c r="N909" s="200"/>
    </row>
    <row r="910" spans="8:14" ht="12.75" x14ac:dyDescent="0.2">
      <c r="H910" s="200"/>
      <c r="K910" s="200"/>
      <c r="N910" s="200"/>
    </row>
    <row r="911" spans="8:14" ht="12.75" x14ac:dyDescent="0.2">
      <c r="H911" s="200"/>
      <c r="K911" s="200"/>
      <c r="N911" s="200"/>
    </row>
    <row r="912" spans="8:14" ht="12.75" x14ac:dyDescent="0.2">
      <c r="H912" s="200"/>
      <c r="K912" s="200"/>
      <c r="N912" s="200"/>
    </row>
    <row r="913" spans="8:14" ht="12.75" x14ac:dyDescent="0.2">
      <c r="H913" s="200"/>
      <c r="K913" s="200"/>
      <c r="N913" s="200"/>
    </row>
    <row r="914" spans="8:14" ht="12.75" x14ac:dyDescent="0.2">
      <c r="H914" s="200"/>
      <c r="K914" s="200"/>
      <c r="N914" s="200"/>
    </row>
    <row r="915" spans="8:14" ht="12.75" x14ac:dyDescent="0.2">
      <c r="H915" s="200"/>
      <c r="K915" s="200"/>
      <c r="N915" s="200"/>
    </row>
    <row r="916" spans="8:14" ht="12.75" x14ac:dyDescent="0.2">
      <c r="H916" s="200"/>
      <c r="K916" s="200"/>
      <c r="N916" s="200"/>
    </row>
    <row r="917" spans="8:14" ht="12.75" x14ac:dyDescent="0.2">
      <c r="H917" s="200"/>
      <c r="K917" s="200"/>
      <c r="N917" s="200"/>
    </row>
    <row r="918" spans="8:14" ht="12.75" x14ac:dyDescent="0.2">
      <c r="H918" s="200"/>
      <c r="K918" s="200"/>
      <c r="N918" s="200"/>
    </row>
    <row r="919" spans="8:14" ht="12.75" x14ac:dyDescent="0.2">
      <c r="H919" s="200"/>
      <c r="K919" s="200"/>
      <c r="N919" s="200"/>
    </row>
    <row r="920" spans="8:14" ht="12.75" x14ac:dyDescent="0.2">
      <c r="H920" s="200"/>
      <c r="K920" s="200"/>
      <c r="N920" s="200"/>
    </row>
    <row r="921" spans="8:14" ht="12.75" x14ac:dyDescent="0.2">
      <c r="H921" s="200"/>
      <c r="K921" s="200"/>
      <c r="N921" s="200"/>
    </row>
    <row r="922" spans="8:14" ht="12.75" x14ac:dyDescent="0.2">
      <c r="H922" s="200"/>
      <c r="K922" s="200"/>
      <c r="N922" s="200"/>
    </row>
    <row r="923" spans="8:14" ht="12.75" x14ac:dyDescent="0.2">
      <c r="H923" s="200"/>
      <c r="K923" s="200"/>
      <c r="N923" s="200"/>
    </row>
    <row r="924" spans="8:14" ht="12.75" x14ac:dyDescent="0.2">
      <c r="H924" s="200"/>
      <c r="K924" s="200"/>
      <c r="N924" s="200"/>
    </row>
    <row r="925" spans="8:14" ht="12.75" x14ac:dyDescent="0.2">
      <c r="H925" s="200"/>
      <c r="K925" s="200"/>
      <c r="N925" s="200"/>
    </row>
    <row r="926" spans="8:14" ht="12.75" x14ac:dyDescent="0.2">
      <c r="H926" s="200"/>
      <c r="K926" s="200"/>
      <c r="N926" s="200"/>
    </row>
    <row r="927" spans="8:14" ht="12.75" x14ac:dyDescent="0.2">
      <c r="H927" s="200"/>
      <c r="K927" s="200"/>
      <c r="N927" s="200"/>
    </row>
    <row r="928" spans="8:14" ht="12.75" x14ac:dyDescent="0.2">
      <c r="H928" s="200"/>
      <c r="K928" s="200"/>
      <c r="N928" s="200"/>
    </row>
    <row r="929" spans="8:14" ht="12.75" x14ac:dyDescent="0.2">
      <c r="H929" s="200"/>
      <c r="K929" s="200"/>
      <c r="N929" s="200"/>
    </row>
    <row r="930" spans="8:14" ht="12.75" x14ac:dyDescent="0.2">
      <c r="H930" s="200"/>
      <c r="K930" s="200"/>
      <c r="N930" s="200"/>
    </row>
    <row r="931" spans="8:14" ht="12.75" x14ac:dyDescent="0.2">
      <c r="H931" s="200"/>
      <c r="K931" s="200"/>
      <c r="N931" s="200"/>
    </row>
    <row r="932" spans="8:14" ht="12.75" x14ac:dyDescent="0.2">
      <c r="H932" s="200"/>
      <c r="K932" s="200"/>
      <c r="N932" s="200"/>
    </row>
    <row r="933" spans="8:14" ht="12.75" x14ac:dyDescent="0.2">
      <c r="H933" s="200"/>
      <c r="K933" s="200"/>
      <c r="N933" s="200"/>
    </row>
    <row r="934" spans="8:14" ht="12.75" x14ac:dyDescent="0.2">
      <c r="H934" s="200"/>
      <c r="K934" s="200"/>
      <c r="N934" s="200"/>
    </row>
    <row r="935" spans="8:14" ht="12.75" x14ac:dyDescent="0.2">
      <c r="H935" s="200"/>
      <c r="K935" s="200"/>
      <c r="N935" s="200"/>
    </row>
    <row r="936" spans="8:14" ht="12.75" x14ac:dyDescent="0.2">
      <c r="H936" s="200"/>
      <c r="K936" s="200"/>
      <c r="N936" s="200"/>
    </row>
    <row r="937" spans="8:14" ht="12.75" x14ac:dyDescent="0.2">
      <c r="H937" s="200"/>
      <c r="K937" s="200"/>
      <c r="N937" s="200"/>
    </row>
    <row r="938" spans="8:14" ht="12.75" x14ac:dyDescent="0.2">
      <c r="H938" s="200"/>
      <c r="K938" s="200"/>
      <c r="N938" s="200"/>
    </row>
    <row r="939" spans="8:14" ht="12.75" x14ac:dyDescent="0.2">
      <c r="H939" s="200"/>
      <c r="K939" s="200"/>
      <c r="N939" s="200"/>
    </row>
    <row r="940" spans="8:14" ht="12.75" x14ac:dyDescent="0.2">
      <c r="H940" s="200"/>
      <c r="K940" s="200"/>
      <c r="N940" s="200"/>
    </row>
    <row r="941" spans="8:14" ht="12.75" x14ac:dyDescent="0.2">
      <c r="H941" s="200"/>
      <c r="K941" s="200"/>
      <c r="N941" s="200"/>
    </row>
    <row r="942" spans="8:14" ht="12.75" x14ac:dyDescent="0.2">
      <c r="H942" s="200"/>
      <c r="K942" s="200"/>
      <c r="N942" s="200"/>
    </row>
    <row r="943" spans="8:14" ht="12.75" x14ac:dyDescent="0.2">
      <c r="H943" s="200"/>
      <c r="K943" s="200"/>
      <c r="N943" s="200"/>
    </row>
    <row r="944" spans="8:14" ht="12.75" x14ac:dyDescent="0.2">
      <c r="H944" s="200"/>
      <c r="K944" s="200"/>
      <c r="N944" s="200"/>
    </row>
    <row r="945" spans="8:14" ht="12.75" x14ac:dyDescent="0.2">
      <c r="H945" s="200"/>
      <c r="K945" s="200"/>
      <c r="N945" s="200"/>
    </row>
    <row r="946" spans="8:14" ht="12.75" x14ac:dyDescent="0.2">
      <c r="H946" s="200"/>
      <c r="K946" s="200"/>
      <c r="N946" s="200"/>
    </row>
    <row r="947" spans="8:14" ht="12.75" x14ac:dyDescent="0.2">
      <c r="H947" s="200"/>
      <c r="K947" s="200"/>
      <c r="N947" s="200"/>
    </row>
    <row r="948" spans="8:14" ht="12.75" x14ac:dyDescent="0.2">
      <c r="H948" s="200"/>
      <c r="K948" s="200"/>
      <c r="N948" s="200"/>
    </row>
    <row r="949" spans="8:14" ht="12.75" x14ac:dyDescent="0.2">
      <c r="H949" s="200"/>
      <c r="K949" s="200"/>
      <c r="N949" s="200"/>
    </row>
    <row r="950" spans="8:14" ht="12.75" x14ac:dyDescent="0.2">
      <c r="H950" s="200"/>
      <c r="K950" s="200"/>
      <c r="N950" s="200"/>
    </row>
    <row r="951" spans="8:14" ht="12.75" x14ac:dyDescent="0.2">
      <c r="H951" s="200"/>
      <c r="K951" s="200"/>
      <c r="N951" s="200"/>
    </row>
    <row r="952" spans="8:14" ht="12.75" x14ac:dyDescent="0.2">
      <c r="H952" s="200"/>
      <c r="K952" s="200"/>
      <c r="N952" s="200"/>
    </row>
    <row r="953" spans="8:14" ht="12.75" x14ac:dyDescent="0.2">
      <c r="H953" s="200"/>
      <c r="K953" s="200"/>
      <c r="N953" s="200"/>
    </row>
    <row r="954" spans="8:14" ht="12.75" x14ac:dyDescent="0.2">
      <c r="H954" s="200"/>
      <c r="K954" s="200"/>
      <c r="N954" s="200"/>
    </row>
    <row r="955" spans="8:14" ht="12.75" x14ac:dyDescent="0.2">
      <c r="H955" s="200"/>
      <c r="K955" s="200"/>
      <c r="N955" s="200"/>
    </row>
    <row r="956" spans="8:14" ht="12.75" x14ac:dyDescent="0.2">
      <c r="H956" s="200"/>
      <c r="K956" s="200"/>
      <c r="N956" s="200"/>
    </row>
    <row r="957" spans="8:14" ht="12.75" x14ac:dyDescent="0.2">
      <c r="H957" s="200"/>
      <c r="K957" s="200"/>
      <c r="N957" s="200"/>
    </row>
    <row r="958" spans="8:14" ht="12.75" x14ac:dyDescent="0.2">
      <c r="H958" s="200"/>
      <c r="K958" s="200"/>
      <c r="N958" s="200"/>
    </row>
    <row r="959" spans="8:14" ht="12.75" x14ac:dyDescent="0.2">
      <c r="H959" s="200"/>
      <c r="K959" s="200"/>
      <c r="N959" s="200"/>
    </row>
    <row r="960" spans="8:14" ht="12.75" x14ac:dyDescent="0.2">
      <c r="H960" s="200"/>
      <c r="K960" s="200"/>
      <c r="N960" s="200"/>
    </row>
    <row r="961" spans="8:14" ht="12.75" x14ac:dyDescent="0.2">
      <c r="H961" s="200"/>
      <c r="K961" s="200"/>
      <c r="N961" s="200"/>
    </row>
    <row r="962" spans="8:14" ht="12.75" x14ac:dyDescent="0.2">
      <c r="H962" s="200"/>
      <c r="K962" s="200"/>
      <c r="N962" s="200"/>
    </row>
    <row r="963" spans="8:14" ht="12.75" x14ac:dyDescent="0.2">
      <c r="H963" s="200"/>
      <c r="K963" s="200"/>
      <c r="N963" s="200"/>
    </row>
    <row r="964" spans="8:14" ht="12.75" x14ac:dyDescent="0.2">
      <c r="H964" s="200"/>
      <c r="K964" s="200"/>
      <c r="N964" s="200"/>
    </row>
    <row r="965" spans="8:14" ht="12.75" x14ac:dyDescent="0.2">
      <c r="H965" s="200"/>
      <c r="K965" s="200"/>
      <c r="N965" s="200"/>
    </row>
    <row r="966" spans="8:14" ht="12.75" x14ac:dyDescent="0.2">
      <c r="H966" s="200"/>
      <c r="K966" s="200"/>
      <c r="N966" s="200"/>
    </row>
    <row r="967" spans="8:14" ht="12.75" x14ac:dyDescent="0.2">
      <c r="H967" s="200"/>
      <c r="K967" s="200"/>
      <c r="N967" s="200"/>
    </row>
    <row r="968" spans="8:14" ht="12.75" x14ac:dyDescent="0.2">
      <c r="H968" s="200"/>
      <c r="K968" s="200"/>
      <c r="N968" s="200"/>
    </row>
    <row r="969" spans="8:14" ht="12.75" x14ac:dyDescent="0.2">
      <c r="H969" s="200"/>
      <c r="K969" s="200"/>
      <c r="N969" s="200"/>
    </row>
    <row r="970" spans="8:14" ht="12.75" x14ac:dyDescent="0.2">
      <c r="H970" s="200"/>
      <c r="K970" s="200"/>
      <c r="N970" s="200"/>
    </row>
    <row r="971" spans="8:14" ht="12.75" x14ac:dyDescent="0.2">
      <c r="H971" s="200"/>
      <c r="K971" s="200"/>
      <c r="N971" s="200"/>
    </row>
    <row r="972" spans="8:14" ht="12.75" x14ac:dyDescent="0.2">
      <c r="H972" s="200"/>
      <c r="K972" s="200"/>
      <c r="N972" s="200"/>
    </row>
    <row r="973" spans="8:14" ht="12.75" x14ac:dyDescent="0.2">
      <c r="H973" s="200"/>
      <c r="K973" s="200"/>
      <c r="N973" s="200"/>
    </row>
    <row r="974" spans="8:14" ht="12.75" x14ac:dyDescent="0.2">
      <c r="H974" s="200"/>
      <c r="K974" s="200"/>
      <c r="N974" s="200"/>
    </row>
    <row r="975" spans="8:14" ht="12.75" x14ac:dyDescent="0.2">
      <c r="H975" s="200"/>
      <c r="K975" s="200"/>
      <c r="N975" s="200"/>
    </row>
    <row r="976" spans="8:14" ht="12.75" x14ac:dyDescent="0.2">
      <c r="H976" s="200"/>
      <c r="K976" s="200"/>
      <c r="N976" s="200"/>
    </row>
    <row r="977" spans="8:14" ht="12.75" x14ac:dyDescent="0.2">
      <c r="H977" s="200"/>
      <c r="K977" s="200"/>
      <c r="N977" s="200"/>
    </row>
    <row r="978" spans="8:14" ht="12.75" x14ac:dyDescent="0.2">
      <c r="H978" s="200"/>
      <c r="K978" s="200"/>
      <c r="N978" s="200"/>
    </row>
    <row r="979" spans="8:14" ht="12.75" x14ac:dyDescent="0.2">
      <c r="H979" s="200"/>
      <c r="K979" s="200"/>
      <c r="N979" s="200"/>
    </row>
    <row r="980" spans="8:14" ht="12.75" x14ac:dyDescent="0.2">
      <c r="H980" s="200"/>
      <c r="K980" s="200"/>
      <c r="N980" s="200"/>
    </row>
    <row r="981" spans="8:14" ht="12.75" x14ac:dyDescent="0.2">
      <c r="H981" s="200"/>
      <c r="K981" s="200"/>
      <c r="N981" s="200"/>
    </row>
    <row r="982" spans="8:14" ht="12.75" x14ac:dyDescent="0.2">
      <c r="H982" s="200"/>
      <c r="K982" s="200"/>
      <c r="N982" s="200"/>
    </row>
    <row r="983" spans="8:14" ht="12.75" x14ac:dyDescent="0.2">
      <c r="H983" s="200"/>
      <c r="K983" s="200"/>
      <c r="N983" s="200"/>
    </row>
    <row r="984" spans="8:14" ht="12.75" x14ac:dyDescent="0.2">
      <c r="H984" s="200"/>
      <c r="K984" s="200"/>
      <c r="N984" s="200"/>
    </row>
    <row r="985" spans="8:14" ht="12.75" x14ac:dyDescent="0.2">
      <c r="H985" s="200"/>
      <c r="K985" s="200"/>
      <c r="N985" s="200"/>
    </row>
    <row r="986" spans="8:14" ht="12.75" x14ac:dyDescent="0.2">
      <c r="H986" s="200"/>
      <c r="K986" s="200"/>
      <c r="N986" s="200"/>
    </row>
    <row r="987" spans="8:14" ht="12.75" x14ac:dyDescent="0.2">
      <c r="H987" s="200"/>
      <c r="K987" s="200"/>
      <c r="N987" s="200"/>
    </row>
    <row r="988" spans="8:14" ht="12.75" x14ac:dyDescent="0.2">
      <c r="H988" s="200"/>
      <c r="K988" s="200"/>
      <c r="N988" s="200"/>
    </row>
    <row r="989" spans="8:14" ht="12.75" x14ac:dyDescent="0.2">
      <c r="H989" s="200"/>
      <c r="K989" s="200"/>
      <c r="N989" s="200"/>
    </row>
    <row r="990" spans="8:14" ht="12.75" x14ac:dyDescent="0.2">
      <c r="H990" s="200"/>
      <c r="K990" s="200"/>
      <c r="N990" s="200"/>
    </row>
    <row r="991" spans="8:14" ht="12.75" x14ac:dyDescent="0.2">
      <c r="H991" s="200"/>
      <c r="K991" s="200"/>
      <c r="N991" s="200"/>
    </row>
    <row r="992" spans="8:14" ht="12.75" x14ac:dyDescent="0.2">
      <c r="H992" s="200"/>
      <c r="K992" s="200"/>
      <c r="N992" s="200"/>
    </row>
    <row r="993" spans="8:14" ht="12.75" x14ac:dyDescent="0.2">
      <c r="H993" s="200"/>
      <c r="K993" s="200"/>
      <c r="N993" s="200"/>
    </row>
    <row r="994" spans="8:14" ht="12.75" x14ac:dyDescent="0.2">
      <c r="H994" s="200"/>
      <c r="K994" s="200"/>
      <c r="N994" s="200"/>
    </row>
    <row r="995" spans="8:14" ht="12.75" x14ac:dyDescent="0.2">
      <c r="H995" s="200"/>
      <c r="K995" s="200"/>
      <c r="N995" s="200"/>
    </row>
    <row r="996" spans="8:14" ht="12.75" x14ac:dyDescent="0.2">
      <c r="H996" s="200"/>
      <c r="K996" s="200"/>
      <c r="N996" s="200"/>
    </row>
    <row r="997" spans="8:14" ht="12.75" x14ac:dyDescent="0.2">
      <c r="H997" s="200"/>
      <c r="K997" s="200"/>
      <c r="N997" s="200"/>
    </row>
    <row r="998" spans="8:14" ht="12.75" x14ac:dyDescent="0.2">
      <c r="H998" s="200"/>
      <c r="K998" s="200"/>
      <c r="N998" s="200"/>
    </row>
    <row r="999" spans="8:14" ht="12.75" x14ac:dyDescent="0.2">
      <c r="H999" s="200"/>
      <c r="K999" s="200"/>
      <c r="N999" s="200"/>
    </row>
    <row r="1000" spans="8:14" ht="12.75" x14ac:dyDescent="0.2">
      <c r="H1000" s="200"/>
      <c r="K1000" s="200"/>
      <c r="N1000" s="200"/>
    </row>
    <row r="1001" spans="8:14" ht="12.75" x14ac:dyDescent="0.2">
      <c r="H1001" s="200"/>
      <c r="K1001" s="200"/>
      <c r="N1001" s="200"/>
    </row>
  </sheetData>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1" max="1" width="40.7109375" customWidth="1"/>
    <col min="2" max="2" width="124.42578125" customWidth="1"/>
  </cols>
  <sheetData>
    <row r="1" spans="1:26" ht="25.5" x14ac:dyDescent="0.2">
      <c r="A1" s="12" t="s">
        <v>396</v>
      </c>
      <c r="B1" s="12" t="s">
        <v>397</v>
      </c>
      <c r="C1" s="12" t="s">
        <v>398</v>
      </c>
      <c r="D1" s="12" t="s">
        <v>399</v>
      </c>
      <c r="E1" s="12" t="s">
        <v>400</v>
      </c>
      <c r="F1" s="12" t="s">
        <v>401</v>
      </c>
      <c r="G1" s="12" t="s">
        <v>402</v>
      </c>
      <c r="H1" s="12" t="s">
        <v>403</v>
      </c>
      <c r="I1" s="12" t="s">
        <v>404</v>
      </c>
      <c r="J1" s="12" t="s">
        <v>100</v>
      </c>
      <c r="K1" s="235"/>
      <c r="L1" s="235"/>
      <c r="M1" s="235"/>
      <c r="N1" s="235"/>
      <c r="O1" s="235"/>
      <c r="P1" s="235"/>
      <c r="Q1" s="236"/>
      <c r="R1" s="236"/>
      <c r="S1" s="236"/>
      <c r="T1" s="236"/>
      <c r="U1" s="236"/>
      <c r="V1" s="236"/>
      <c r="W1" s="236"/>
      <c r="X1" s="236"/>
      <c r="Y1" s="236"/>
      <c r="Z1" s="236"/>
    </row>
    <row r="2" spans="1:26" ht="25.5" x14ac:dyDescent="0.2">
      <c r="A2" s="237" t="s">
        <v>405</v>
      </c>
      <c r="B2" s="185" t="s">
        <v>406</v>
      </c>
      <c r="C2" s="4" t="s">
        <v>407</v>
      </c>
      <c r="D2" s="94">
        <v>-0.2</v>
      </c>
      <c r="E2" s="144">
        <v>-0.05</v>
      </c>
      <c r="F2" s="94">
        <v>-0.2</v>
      </c>
      <c r="G2" s="144">
        <v>-0.3</v>
      </c>
      <c r="H2" s="94">
        <v>-0.1</v>
      </c>
      <c r="I2" s="94">
        <v>-0.1</v>
      </c>
      <c r="J2" s="88">
        <f t="shared" ref="J2:J19" si="0">AVERAGE(1+F2,1+G2,1+H2,1+I2)</f>
        <v>0.82499999999999996</v>
      </c>
    </row>
    <row r="3" spans="1:26" ht="25.5" x14ac:dyDescent="0.2">
      <c r="A3" s="237" t="s">
        <v>413</v>
      </c>
      <c r="B3" s="185" t="s">
        <v>414</v>
      </c>
      <c r="C3" s="4" t="s">
        <v>407</v>
      </c>
      <c r="D3" s="94">
        <v>-8.2000000000000003E-2</v>
      </c>
      <c r="E3" s="94">
        <v>0.03</v>
      </c>
      <c r="F3" s="94">
        <v>-8.2000000000000003E-2</v>
      </c>
      <c r="G3" s="94">
        <v>-8.2000000000000003E-2</v>
      </c>
      <c r="H3" s="94">
        <v>-8.2000000000000003E-2</v>
      </c>
      <c r="I3" s="94">
        <v>-8.2000000000000003E-2</v>
      </c>
      <c r="J3" s="88">
        <f t="shared" si="0"/>
        <v>0.91800000000000004</v>
      </c>
    </row>
    <row r="4" spans="1:26" ht="63.75" x14ac:dyDescent="0.2">
      <c r="A4" s="237" t="s">
        <v>415</v>
      </c>
      <c r="B4" s="185" t="s">
        <v>416</v>
      </c>
      <c r="C4" s="4" t="s">
        <v>407</v>
      </c>
      <c r="D4" s="94">
        <v>-0.75</v>
      </c>
      <c r="E4" s="94">
        <v>-0.1</v>
      </c>
      <c r="F4" s="94">
        <v>-0.2</v>
      </c>
      <c r="G4" s="94">
        <v>-0.25</v>
      </c>
      <c r="H4" s="94">
        <v>-0.2</v>
      </c>
      <c r="I4" s="94">
        <v>-0.2</v>
      </c>
      <c r="J4" s="88">
        <f t="shared" si="0"/>
        <v>0.78750000000000009</v>
      </c>
    </row>
    <row r="5" spans="1:26" ht="12.75" x14ac:dyDescent="0.2">
      <c r="A5" s="237" t="s">
        <v>44</v>
      </c>
      <c r="B5" s="185" t="s">
        <v>417</v>
      </c>
      <c r="C5" s="4" t="s">
        <v>418</v>
      </c>
      <c r="D5" s="94">
        <v>0</v>
      </c>
      <c r="E5" s="94">
        <v>0</v>
      </c>
      <c r="F5" s="94">
        <v>0</v>
      </c>
      <c r="G5" s="94">
        <v>0</v>
      </c>
      <c r="H5" s="94">
        <v>0</v>
      </c>
      <c r="I5" s="94">
        <v>0</v>
      </c>
      <c r="J5" s="88">
        <f t="shared" si="0"/>
        <v>1</v>
      </c>
    </row>
    <row r="6" spans="1:26" ht="63.75" x14ac:dyDescent="0.2">
      <c r="A6" s="237" t="s">
        <v>419</v>
      </c>
      <c r="B6" s="185" t="s">
        <v>420</v>
      </c>
      <c r="C6" s="4" t="s">
        <v>407</v>
      </c>
      <c r="D6" s="94">
        <v>-0.1</v>
      </c>
      <c r="E6" s="94">
        <v>-0.01</v>
      </c>
      <c r="F6" s="94">
        <v>-0.1</v>
      </c>
      <c r="G6" s="94">
        <v>-0.2</v>
      </c>
      <c r="H6" s="94">
        <v>-0.05</v>
      </c>
      <c r="I6" s="94">
        <v>-0.05</v>
      </c>
      <c r="J6" s="88">
        <f t="shared" si="0"/>
        <v>0.90000000000000013</v>
      </c>
    </row>
    <row r="7" spans="1:26" ht="25.5" x14ac:dyDescent="0.2">
      <c r="A7" s="237" t="s">
        <v>422</v>
      </c>
      <c r="B7" s="185" t="s">
        <v>423</v>
      </c>
      <c r="C7" s="4" t="s">
        <v>424</v>
      </c>
      <c r="D7" s="94">
        <v>0</v>
      </c>
      <c r="E7" s="94">
        <v>0.1</v>
      </c>
      <c r="F7" s="94">
        <v>0.05</v>
      </c>
      <c r="G7" s="94">
        <v>0.05</v>
      </c>
      <c r="H7" s="94">
        <v>0</v>
      </c>
      <c r="I7" s="94">
        <v>0</v>
      </c>
      <c r="J7" s="88">
        <f t="shared" si="0"/>
        <v>1.0249999999999999</v>
      </c>
    </row>
    <row r="8" spans="1:26" ht="12.75" x14ac:dyDescent="0.2">
      <c r="A8" s="242" t="str">
        <f>HYPERLINK("https://docs.google.com/document/d/1XFyeO2K_zmiFFgfidwP1E-4y7GmHZ8UQJyaFa4OT8_Q/edit","Increasing vaccination trends detailed")</f>
        <v>Increasing vaccination trends detailed</v>
      </c>
      <c r="B8" s="185" t="s">
        <v>425</v>
      </c>
      <c r="C8" s="4" t="s">
        <v>418</v>
      </c>
      <c r="D8" s="94">
        <v>0</v>
      </c>
      <c r="E8" s="94">
        <v>0</v>
      </c>
      <c r="F8" s="94">
        <v>0</v>
      </c>
      <c r="G8" s="94">
        <v>0</v>
      </c>
      <c r="H8" s="94">
        <v>0</v>
      </c>
      <c r="I8" s="94">
        <v>0</v>
      </c>
      <c r="J8" s="88">
        <f t="shared" si="0"/>
        <v>1</v>
      </c>
    </row>
    <row r="9" spans="1:26" ht="38.25" x14ac:dyDescent="0.2">
      <c r="A9" s="237" t="s">
        <v>426</v>
      </c>
      <c r="B9" s="185" t="s">
        <v>427</v>
      </c>
      <c r="C9" s="4" t="s">
        <v>428</v>
      </c>
      <c r="D9" s="94">
        <v>0.01</v>
      </c>
      <c r="E9" s="94">
        <v>0.08</v>
      </c>
      <c r="F9" s="94">
        <v>0.04</v>
      </c>
      <c r="G9" s="94">
        <v>0.05</v>
      </c>
      <c r="H9" s="94">
        <v>0.05</v>
      </c>
      <c r="I9" s="94">
        <v>0.04</v>
      </c>
      <c r="J9" s="88">
        <f t="shared" si="0"/>
        <v>1.0449999999999999</v>
      </c>
    </row>
    <row r="10" spans="1:26" ht="25.5" x14ac:dyDescent="0.2">
      <c r="A10" s="237" t="s">
        <v>429</v>
      </c>
      <c r="B10" s="185" t="s">
        <v>430</v>
      </c>
      <c r="C10" s="4" t="s">
        <v>407</v>
      </c>
      <c r="D10" s="94">
        <v>-0.2</v>
      </c>
      <c r="E10" s="94">
        <v>0</v>
      </c>
      <c r="F10" s="94">
        <v>-0.1</v>
      </c>
      <c r="G10" s="94">
        <v>-0.3</v>
      </c>
      <c r="H10" s="94">
        <v>-0.15</v>
      </c>
      <c r="I10" s="94">
        <v>-0.15</v>
      </c>
      <c r="J10" s="88">
        <f t="shared" si="0"/>
        <v>0.82500000000000007</v>
      </c>
    </row>
    <row r="11" spans="1:26" ht="42.75" customHeight="1" x14ac:dyDescent="0.2">
      <c r="A11" s="237" t="s">
        <v>88</v>
      </c>
      <c r="B11" s="185" t="s">
        <v>431</v>
      </c>
      <c r="C11" s="4" t="s">
        <v>407</v>
      </c>
      <c r="D11" s="94">
        <v>0</v>
      </c>
      <c r="E11" s="94">
        <v>0</v>
      </c>
      <c r="F11" s="94">
        <v>0</v>
      </c>
      <c r="G11" s="94">
        <v>0</v>
      </c>
      <c r="H11" s="94">
        <v>0</v>
      </c>
      <c r="I11" s="94">
        <v>0</v>
      </c>
      <c r="J11" s="88">
        <f t="shared" si="0"/>
        <v>1</v>
      </c>
    </row>
    <row r="12" spans="1:26" ht="25.5" x14ac:dyDescent="0.2">
      <c r="A12" s="237" t="s">
        <v>432</v>
      </c>
      <c r="B12" s="185" t="s">
        <v>434</v>
      </c>
      <c r="C12" s="4" t="s">
        <v>407</v>
      </c>
      <c r="D12" s="94">
        <v>0</v>
      </c>
      <c r="E12" s="94">
        <v>0</v>
      </c>
      <c r="F12" s="94">
        <v>0</v>
      </c>
      <c r="G12" s="94">
        <v>0</v>
      </c>
      <c r="H12" s="94">
        <v>0</v>
      </c>
      <c r="I12" s="94">
        <v>0</v>
      </c>
      <c r="J12" s="88">
        <f t="shared" si="0"/>
        <v>1</v>
      </c>
    </row>
    <row r="13" spans="1:26" ht="38.25" x14ac:dyDescent="0.2">
      <c r="A13" s="237" t="s">
        <v>435</v>
      </c>
      <c r="B13" s="247" t="s">
        <v>436</v>
      </c>
      <c r="C13" s="4" t="s">
        <v>428</v>
      </c>
      <c r="D13" s="94">
        <v>0.05</v>
      </c>
      <c r="E13" s="94">
        <v>0.3</v>
      </c>
      <c r="F13" s="94">
        <v>0.1</v>
      </c>
      <c r="G13" s="94">
        <v>0.08</v>
      </c>
      <c r="H13" s="94">
        <v>0.1</v>
      </c>
      <c r="I13" s="94">
        <v>0.08</v>
      </c>
      <c r="J13" s="88">
        <f t="shared" si="0"/>
        <v>1.0900000000000001</v>
      </c>
    </row>
    <row r="14" spans="1:26" ht="38.25" x14ac:dyDescent="0.2">
      <c r="A14" s="237" t="s">
        <v>437</v>
      </c>
      <c r="B14" s="185" t="s">
        <v>438</v>
      </c>
      <c r="C14" s="4" t="s">
        <v>428</v>
      </c>
      <c r="D14" s="94">
        <v>0</v>
      </c>
      <c r="E14" s="94">
        <v>0.05</v>
      </c>
      <c r="F14" s="94">
        <v>2.5000000000000001E-2</v>
      </c>
      <c r="G14" s="94">
        <v>0.05</v>
      </c>
      <c r="H14" s="94">
        <v>0</v>
      </c>
      <c r="I14" s="94">
        <v>0</v>
      </c>
      <c r="J14" s="88">
        <f t="shared" si="0"/>
        <v>1.01875</v>
      </c>
    </row>
    <row r="15" spans="1:26" ht="38.25" x14ac:dyDescent="0.2">
      <c r="A15" s="237" t="s">
        <v>439</v>
      </c>
      <c r="B15" s="185" t="s">
        <v>440</v>
      </c>
      <c r="C15" s="4" t="s">
        <v>428</v>
      </c>
      <c r="D15" s="94">
        <v>0.02</v>
      </c>
      <c r="E15" s="94">
        <v>0.15</v>
      </c>
      <c r="F15" s="94">
        <v>0.1</v>
      </c>
      <c r="G15" s="94">
        <v>0.05</v>
      </c>
      <c r="H15" s="94">
        <v>0.1</v>
      </c>
      <c r="I15" s="94">
        <v>0.05</v>
      </c>
      <c r="J15" s="88">
        <f t="shared" si="0"/>
        <v>1.0750000000000002</v>
      </c>
    </row>
    <row r="16" spans="1:26" ht="38.25" x14ac:dyDescent="0.2">
      <c r="A16" s="248" t="s">
        <v>441</v>
      </c>
      <c r="B16" s="185" t="s">
        <v>442</v>
      </c>
      <c r="C16" s="4" t="s">
        <v>407</v>
      </c>
      <c r="D16" s="94">
        <v>-0.35</v>
      </c>
      <c r="E16" s="94">
        <v>-0.15</v>
      </c>
      <c r="F16" s="94">
        <v>-0.3</v>
      </c>
      <c r="G16" s="94">
        <v>-0.2</v>
      </c>
      <c r="H16" s="94">
        <v>-0.15</v>
      </c>
      <c r="I16" s="94">
        <v>-0.15</v>
      </c>
      <c r="J16" s="88">
        <f t="shared" si="0"/>
        <v>0.8</v>
      </c>
    </row>
    <row r="17" spans="1:10" ht="25.5" x14ac:dyDescent="0.2">
      <c r="A17" s="237" t="s">
        <v>443</v>
      </c>
      <c r="B17" s="185" t="s">
        <v>444</v>
      </c>
      <c r="C17" s="4" t="s">
        <v>424</v>
      </c>
      <c r="D17" s="94">
        <v>0</v>
      </c>
      <c r="E17" s="94">
        <v>0.5</v>
      </c>
      <c r="F17" s="94">
        <v>0.3</v>
      </c>
      <c r="G17" s="94">
        <v>0.15</v>
      </c>
      <c r="H17" s="94">
        <v>0.01</v>
      </c>
      <c r="I17" s="94">
        <v>0.1</v>
      </c>
      <c r="J17" s="88">
        <f t="shared" si="0"/>
        <v>1.1400000000000001</v>
      </c>
    </row>
    <row r="18" spans="1:10" ht="51" x14ac:dyDescent="0.2">
      <c r="A18" s="237" t="s">
        <v>446</v>
      </c>
      <c r="B18" s="185" t="s">
        <v>447</v>
      </c>
      <c r="C18" s="4" t="s">
        <v>428</v>
      </c>
      <c r="D18" s="94">
        <v>0</v>
      </c>
      <c r="E18" s="94">
        <v>0.05</v>
      </c>
      <c r="F18" s="94">
        <v>0.03</v>
      </c>
      <c r="G18" s="94">
        <v>0.01</v>
      </c>
      <c r="H18" s="94">
        <v>0</v>
      </c>
      <c r="I18" s="94">
        <v>0.02</v>
      </c>
      <c r="J18" s="88">
        <f t="shared" si="0"/>
        <v>1.0150000000000001</v>
      </c>
    </row>
    <row r="19" spans="1:10" ht="12.75" x14ac:dyDescent="0.2">
      <c r="A19" s="4" t="s">
        <v>448</v>
      </c>
      <c r="B19" s="200"/>
      <c r="C19" s="4" t="s">
        <v>407</v>
      </c>
      <c r="D19" s="94">
        <v>0.2</v>
      </c>
      <c r="E19" s="94">
        <v>-0.5</v>
      </c>
      <c r="F19" s="94">
        <v>-0.05</v>
      </c>
      <c r="G19" s="94">
        <v>-0.05</v>
      </c>
      <c r="H19" s="94">
        <v>-0.05</v>
      </c>
      <c r="I19" s="94">
        <v>-0.05</v>
      </c>
      <c r="J19" s="88">
        <f t="shared" si="0"/>
        <v>0.95</v>
      </c>
    </row>
    <row r="20" spans="1:10" ht="12.75" x14ac:dyDescent="0.2">
      <c r="A20" s="4"/>
      <c r="B20" s="200"/>
      <c r="D20" s="98"/>
      <c r="E20" s="98"/>
      <c r="F20" s="98"/>
      <c r="G20" s="98"/>
      <c r="H20" s="94"/>
      <c r="I20" s="94"/>
      <c r="J20" s="94"/>
    </row>
    <row r="21" spans="1:10" ht="25.5" x14ac:dyDescent="0.2">
      <c r="A21" s="185" t="s">
        <v>449</v>
      </c>
      <c r="B21" s="200"/>
      <c r="D21" s="98"/>
      <c r="E21" s="98"/>
      <c r="F21" s="94"/>
      <c r="G21" s="94"/>
      <c r="H21" s="94"/>
      <c r="I21" s="94"/>
      <c r="J21" s="220">
        <f>PRODUCT(J2:J19)</f>
        <v>0.4979329612426816</v>
      </c>
    </row>
    <row r="22" spans="1:10" ht="12.75" x14ac:dyDescent="0.2">
      <c r="B22" s="200"/>
      <c r="D22" s="98"/>
      <c r="E22" s="98"/>
      <c r="F22" s="98"/>
      <c r="G22" s="98"/>
      <c r="H22" s="98"/>
      <c r="I22" s="98"/>
      <c r="J22" s="98"/>
    </row>
    <row r="23" spans="1:10" ht="12.75" x14ac:dyDescent="0.2">
      <c r="B23" s="200"/>
      <c r="D23" s="98"/>
      <c r="E23" s="98"/>
      <c r="F23" s="98"/>
      <c r="G23" s="98"/>
      <c r="H23" s="98"/>
      <c r="I23" s="98"/>
      <c r="J23" s="98"/>
    </row>
    <row r="24" spans="1:10" ht="12.75" x14ac:dyDescent="0.2">
      <c r="B24" s="200"/>
      <c r="D24" s="98"/>
      <c r="E24" s="98"/>
      <c r="F24" s="98"/>
      <c r="G24" s="98"/>
      <c r="H24" s="98"/>
      <c r="I24" s="98"/>
      <c r="J24" s="98"/>
    </row>
    <row r="25" spans="1:10" ht="12.75" x14ac:dyDescent="0.2">
      <c r="B25" s="200"/>
      <c r="D25" s="98"/>
      <c r="E25" s="98"/>
      <c r="F25" s="98"/>
      <c r="G25" s="98"/>
      <c r="H25" s="98"/>
      <c r="I25" s="98"/>
      <c r="J25" s="98"/>
    </row>
    <row r="26" spans="1:10" ht="12.75" x14ac:dyDescent="0.2">
      <c r="B26" s="200"/>
      <c r="D26" s="98"/>
      <c r="E26" s="98"/>
      <c r="F26" s="98"/>
      <c r="G26" s="98"/>
      <c r="H26" s="98"/>
      <c r="I26" s="98"/>
      <c r="J26" s="98"/>
    </row>
    <row r="27" spans="1:10" ht="12.75" x14ac:dyDescent="0.2">
      <c r="B27" s="200"/>
      <c r="D27" s="98"/>
      <c r="E27" s="98"/>
      <c r="F27" s="98"/>
      <c r="G27" s="98"/>
      <c r="H27" s="98"/>
      <c r="I27" s="98"/>
      <c r="J27" s="98"/>
    </row>
    <row r="28" spans="1:10" ht="12.75" x14ac:dyDescent="0.2">
      <c r="B28" s="200"/>
      <c r="D28" s="98"/>
      <c r="E28" s="98"/>
      <c r="F28" s="98"/>
      <c r="G28" s="98"/>
      <c r="H28" s="98"/>
      <c r="I28" s="98"/>
      <c r="J28" s="98"/>
    </row>
    <row r="29" spans="1:10" ht="12.75" x14ac:dyDescent="0.2">
      <c r="B29" s="200"/>
      <c r="D29" s="98"/>
      <c r="E29" s="98"/>
      <c r="F29" s="98"/>
      <c r="G29" s="98"/>
      <c r="H29" s="98"/>
      <c r="I29" s="98"/>
      <c r="J29" s="98"/>
    </row>
    <row r="30" spans="1:10" ht="12.75" x14ac:dyDescent="0.2">
      <c r="B30" s="200"/>
      <c r="D30" s="98"/>
      <c r="E30" s="98"/>
      <c r="F30" s="98"/>
      <c r="G30" s="98"/>
      <c r="H30" s="98"/>
      <c r="I30" s="98"/>
      <c r="J30" s="98"/>
    </row>
    <row r="31" spans="1:10" ht="12.75" x14ac:dyDescent="0.2">
      <c r="B31" s="200"/>
      <c r="D31" s="98"/>
      <c r="E31" s="98"/>
      <c r="F31" s="98"/>
      <c r="G31" s="98"/>
      <c r="H31" s="98"/>
      <c r="I31" s="98"/>
      <c r="J31" s="98"/>
    </row>
    <row r="32" spans="1:10" ht="12.75" x14ac:dyDescent="0.2">
      <c r="B32" s="200"/>
      <c r="D32" s="98"/>
      <c r="E32" s="98"/>
      <c r="F32" s="98"/>
      <c r="G32" s="98"/>
      <c r="H32" s="98"/>
      <c r="I32" s="98"/>
      <c r="J32" s="98"/>
    </row>
    <row r="33" spans="2:10" ht="12.75" x14ac:dyDescent="0.2">
      <c r="B33" s="200"/>
      <c r="D33" s="98"/>
      <c r="E33" s="98"/>
      <c r="F33" s="98"/>
      <c r="G33" s="98"/>
      <c r="H33" s="98"/>
      <c r="I33" s="98"/>
      <c r="J33" s="98"/>
    </row>
    <row r="34" spans="2:10" ht="12.75" x14ac:dyDescent="0.2">
      <c r="B34" s="200"/>
      <c r="D34" s="98"/>
      <c r="E34" s="98"/>
      <c r="F34" s="98"/>
      <c r="G34" s="98"/>
      <c r="H34" s="98"/>
      <c r="I34" s="98"/>
      <c r="J34" s="98"/>
    </row>
    <row r="35" spans="2:10" ht="12.75" x14ac:dyDescent="0.2">
      <c r="B35" s="200"/>
      <c r="D35" s="98"/>
      <c r="E35" s="98"/>
      <c r="F35" s="98"/>
      <c r="G35" s="98"/>
      <c r="H35" s="98"/>
      <c r="I35" s="98"/>
      <c r="J35" s="98"/>
    </row>
    <row r="36" spans="2:10" ht="12.75" x14ac:dyDescent="0.2">
      <c r="B36" s="200"/>
      <c r="D36" s="98"/>
      <c r="E36" s="98"/>
      <c r="F36" s="98"/>
      <c r="G36" s="98"/>
      <c r="H36" s="98"/>
      <c r="I36" s="98"/>
      <c r="J36" s="98"/>
    </row>
    <row r="37" spans="2:10" ht="12.75" x14ac:dyDescent="0.2">
      <c r="B37" s="200"/>
      <c r="D37" s="98"/>
      <c r="E37" s="98"/>
      <c r="F37" s="98"/>
      <c r="G37" s="98"/>
      <c r="H37" s="98"/>
      <c r="I37" s="98"/>
      <c r="J37" s="98"/>
    </row>
    <row r="38" spans="2:10" ht="12.75" x14ac:dyDescent="0.2">
      <c r="B38" s="200"/>
      <c r="D38" s="98"/>
      <c r="E38" s="98"/>
      <c r="F38" s="98"/>
      <c r="G38" s="98"/>
      <c r="H38" s="98"/>
      <c r="I38" s="98"/>
      <c r="J38" s="98"/>
    </row>
    <row r="39" spans="2:10" ht="12.75" x14ac:dyDescent="0.2">
      <c r="B39" s="200"/>
      <c r="D39" s="98"/>
      <c r="E39" s="98"/>
      <c r="F39" s="98"/>
      <c r="G39" s="98"/>
      <c r="H39" s="98"/>
      <c r="I39" s="98"/>
      <c r="J39" s="98"/>
    </row>
    <row r="40" spans="2:10" ht="12.75" x14ac:dyDescent="0.2">
      <c r="B40" s="200"/>
      <c r="D40" s="98"/>
      <c r="E40" s="98"/>
      <c r="F40" s="98"/>
      <c r="G40" s="98"/>
      <c r="H40" s="98"/>
      <c r="I40" s="98"/>
      <c r="J40" s="98"/>
    </row>
    <row r="41" spans="2:10" ht="12.75" x14ac:dyDescent="0.2">
      <c r="B41" s="200"/>
      <c r="D41" s="98"/>
      <c r="E41" s="98"/>
      <c r="F41" s="98"/>
      <c r="G41" s="98"/>
      <c r="H41" s="98"/>
      <c r="I41" s="98"/>
      <c r="J41" s="98"/>
    </row>
    <row r="42" spans="2:10" ht="12.75" x14ac:dyDescent="0.2">
      <c r="B42" s="200"/>
      <c r="D42" s="98"/>
      <c r="E42" s="98"/>
      <c r="F42" s="98"/>
      <c r="G42" s="98"/>
      <c r="H42" s="98"/>
      <c r="I42" s="98"/>
      <c r="J42" s="98"/>
    </row>
    <row r="43" spans="2:10" ht="12.75" x14ac:dyDescent="0.2">
      <c r="B43" s="200"/>
      <c r="D43" s="98"/>
      <c r="E43" s="98"/>
      <c r="F43" s="98"/>
      <c r="G43" s="98"/>
      <c r="H43" s="98"/>
      <c r="I43" s="98"/>
      <c r="J43" s="98"/>
    </row>
    <row r="44" spans="2:10" ht="12.75" x14ac:dyDescent="0.2">
      <c r="B44" s="200"/>
      <c r="D44" s="98"/>
      <c r="E44" s="98"/>
      <c r="F44" s="98"/>
      <c r="G44" s="98"/>
      <c r="H44" s="98"/>
      <c r="I44" s="98"/>
      <c r="J44" s="98"/>
    </row>
    <row r="45" spans="2:10" ht="12.75" x14ac:dyDescent="0.2">
      <c r="B45" s="200"/>
      <c r="D45" s="98"/>
      <c r="E45" s="98"/>
      <c r="F45" s="98"/>
      <c r="G45" s="98"/>
      <c r="H45" s="98"/>
      <c r="I45" s="98"/>
      <c r="J45" s="98"/>
    </row>
    <row r="46" spans="2:10" ht="12.75" x14ac:dyDescent="0.2">
      <c r="B46" s="200"/>
      <c r="D46" s="98"/>
      <c r="E46" s="98"/>
      <c r="F46" s="98"/>
      <c r="G46" s="98"/>
      <c r="H46" s="98"/>
      <c r="I46" s="98"/>
      <c r="J46" s="98"/>
    </row>
    <row r="47" spans="2:10" ht="12.75" x14ac:dyDescent="0.2">
      <c r="B47" s="200"/>
      <c r="D47" s="98"/>
      <c r="E47" s="98"/>
      <c r="F47" s="98"/>
      <c r="G47" s="98"/>
      <c r="H47" s="98"/>
      <c r="I47" s="98"/>
      <c r="J47" s="98"/>
    </row>
    <row r="48" spans="2:10" ht="12.75" x14ac:dyDescent="0.2">
      <c r="B48" s="200"/>
      <c r="D48" s="98"/>
      <c r="E48" s="98"/>
      <c r="F48" s="98"/>
      <c r="G48" s="98"/>
      <c r="H48" s="98"/>
      <c r="I48" s="98"/>
      <c r="J48" s="98"/>
    </row>
    <row r="49" spans="2:10" ht="12.75" x14ac:dyDescent="0.2">
      <c r="B49" s="200"/>
      <c r="D49" s="98"/>
      <c r="E49" s="98"/>
      <c r="F49" s="98"/>
      <c r="G49" s="98"/>
      <c r="H49" s="98"/>
      <c r="I49" s="98"/>
      <c r="J49" s="98"/>
    </row>
    <row r="50" spans="2:10" ht="12.75" x14ac:dyDescent="0.2">
      <c r="B50" s="200"/>
      <c r="D50" s="98"/>
      <c r="E50" s="98"/>
      <c r="F50" s="98"/>
      <c r="G50" s="98"/>
      <c r="H50" s="98"/>
      <c r="I50" s="98"/>
      <c r="J50" s="98"/>
    </row>
    <row r="51" spans="2:10" ht="12.75" x14ac:dyDescent="0.2">
      <c r="B51" s="200"/>
      <c r="D51" s="98"/>
      <c r="E51" s="98"/>
      <c r="F51" s="98"/>
      <c r="G51" s="98"/>
      <c r="H51" s="98"/>
      <c r="I51" s="98"/>
      <c r="J51" s="98"/>
    </row>
    <row r="52" spans="2:10" ht="12.75" x14ac:dyDescent="0.2">
      <c r="B52" s="200"/>
      <c r="D52" s="98"/>
      <c r="E52" s="98"/>
      <c r="F52" s="98"/>
      <c r="G52" s="98"/>
      <c r="H52" s="98"/>
      <c r="I52" s="98"/>
      <c r="J52" s="98"/>
    </row>
    <row r="53" spans="2:10" ht="12.75" x14ac:dyDescent="0.2">
      <c r="B53" s="200"/>
      <c r="D53" s="98"/>
      <c r="E53" s="98"/>
      <c r="F53" s="98"/>
      <c r="G53" s="98"/>
      <c r="H53" s="98"/>
      <c r="I53" s="98"/>
      <c r="J53" s="98"/>
    </row>
    <row r="54" spans="2:10" ht="12.75" x14ac:dyDescent="0.2">
      <c r="B54" s="200"/>
      <c r="D54" s="98"/>
      <c r="E54" s="98"/>
      <c r="F54" s="98"/>
      <c r="G54" s="98"/>
      <c r="H54" s="98"/>
      <c r="I54" s="98"/>
      <c r="J54" s="98"/>
    </row>
    <row r="55" spans="2:10" ht="12.75" x14ac:dyDescent="0.2">
      <c r="B55" s="200"/>
      <c r="D55" s="98"/>
      <c r="E55" s="98"/>
      <c r="F55" s="98"/>
      <c r="G55" s="98"/>
      <c r="H55" s="98"/>
      <c r="I55" s="98"/>
      <c r="J55" s="98"/>
    </row>
    <row r="56" spans="2:10" ht="12.75" x14ac:dyDescent="0.2">
      <c r="B56" s="200"/>
      <c r="D56" s="98"/>
      <c r="E56" s="98"/>
      <c r="F56" s="98"/>
      <c r="G56" s="98"/>
      <c r="H56" s="98"/>
      <c r="I56" s="98"/>
      <c r="J56" s="98"/>
    </row>
    <row r="57" spans="2:10" ht="12.75" x14ac:dyDescent="0.2">
      <c r="B57" s="200"/>
      <c r="D57" s="98"/>
      <c r="E57" s="98"/>
      <c r="F57" s="98"/>
      <c r="G57" s="98"/>
      <c r="H57" s="98"/>
      <c r="I57" s="98"/>
      <c r="J57" s="98"/>
    </row>
    <row r="58" spans="2:10" ht="12.75" x14ac:dyDescent="0.2">
      <c r="B58" s="200"/>
      <c r="D58" s="98"/>
      <c r="E58" s="98"/>
      <c r="F58" s="98"/>
      <c r="G58" s="98"/>
      <c r="H58" s="98"/>
      <c r="I58" s="98"/>
      <c r="J58" s="98"/>
    </row>
    <row r="59" spans="2:10" ht="12.75" x14ac:dyDescent="0.2">
      <c r="B59" s="200"/>
      <c r="D59" s="98"/>
      <c r="E59" s="98"/>
      <c r="F59" s="98"/>
      <c r="G59" s="98"/>
      <c r="H59" s="98"/>
      <c r="I59" s="98"/>
      <c r="J59" s="98"/>
    </row>
    <row r="60" spans="2:10" ht="12.75" x14ac:dyDescent="0.2">
      <c r="B60" s="200"/>
      <c r="D60" s="98"/>
      <c r="E60" s="98"/>
      <c r="F60" s="98"/>
      <c r="G60" s="98"/>
      <c r="H60" s="98"/>
      <c r="I60" s="98"/>
      <c r="J60" s="98"/>
    </row>
    <row r="61" spans="2:10" ht="12.75" x14ac:dyDescent="0.2">
      <c r="B61" s="200"/>
      <c r="D61" s="98"/>
      <c r="E61" s="98"/>
      <c r="F61" s="98"/>
      <c r="G61" s="98"/>
      <c r="H61" s="98"/>
      <c r="I61" s="98"/>
      <c r="J61" s="98"/>
    </row>
    <row r="62" spans="2:10" ht="12.75" x14ac:dyDescent="0.2">
      <c r="B62" s="200"/>
      <c r="D62" s="98"/>
      <c r="E62" s="98"/>
      <c r="F62" s="98"/>
      <c r="G62" s="98"/>
      <c r="H62" s="98"/>
      <c r="I62" s="98"/>
      <c r="J62" s="98"/>
    </row>
    <row r="63" spans="2:10" ht="12.75" x14ac:dyDescent="0.2">
      <c r="B63" s="200"/>
      <c r="D63" s="98"/>
      <c r="E63" s="98"/>
      <c r="F63" s="98"/>
      <c r="G63" s="98"/>
      <c r="H63" s="98"/>
      <c r="I63" s="98"/>
      <c r="J63" s="98"/>
    </row>
    <row r="64" spans="2:10" ht="12.75" x14ac:dyDescent="0.2">
      <c r="B64" s="200"/>
      <c r="D64" s="98"/>
      <c r="E64" s="98"/>
      <c r="F64" s="98"/>
      <c r="G64" s="98"/>
      <c r="H64" s="98"/>
      <c r="I64" s="98"/>
      <c r="J64" s="98"/>
    </row>
    <row r="65" spans="2:10" ht="12.75" x14ac:dyDescent="0.2">
      <c r="B65" s="200"/>
      <c r="D65" s="98"/>
      <c r="E65" s="98"/>
      <c r="F65" s="98"/>
      <c r="G65" s="98"/>
      <c r="H65" s="98"/>
      <c r="I65" s="98"/>
      <c r="J65" s="98"/>
    </row>
    <row r="66" spans="2:10" ht="12.75" x14ac:dyDescent="0.2">
      <c r="B66" s="200"/>
      <c r="D66" s="98"/>
      <c r="E66" s="98"/>
      <c r="F66" s="98"/>
      <c r="G66" s="98"/>
      <c r="H66" s="98"/>
      <c r="I66" s="98"/>
      <c r="J66" s="98"/>
    </row>
    <row r="67" spans="2:10" ht="12.75" x14ac:dyDescent="0.2">
      <c r="B67" s="200"/>
      <c r="D67" s="98"/>
      <c r="E67" s="98"/>
      <c r="F67" s="98"/>
      <c r="G67" s="98"/>
      <c r="H67" s="98"/>
      <c r="I67" s="98"/>
      <c r="J67" s="98"/>
    </row>
    <row r="68" spans="2:10" ht="12.75" x14ac:dyDescent="0.2">
      <c r="B68" s="200"/>
      <c r="D68" s="98"/>
      <c r="E68" s="98"/>
      <c r="F68" s="98"/>
      <c r="G68" s="98"/>
      <c r="H68" s="98"/>
      <c r="I68" s="98"/>
      <c r="J68" s="98"/>
    </row>
    <row r="69" spans="2:10" ht="12.75" x14ac:dyDescent="0.2">
      <c r="B69" s="200"/>
      <c r="D69" s="98"/>
      <c r="E69" s="98"/>
      <c r="F69" s="98"/>
      <c r="G69" s="98"/>
      <c r="H69" s="98"/>
      <c r="I69" s="98"/>
      <c r="J69" s="98"/>
    </row>
    <row r="70" spans="2:10" ht="12.75" x14ac:dyDescent="0.2">
      <c r="B70" s="200"/>
      <c r="D70" s="98"/>
      <c r="E70" s="98"/>
      <c r="F70" s="98"/>
      <c r="G70" s="98"/>
      <c r="H70" s="98"/>
      <c r="I70" s="98"/>
      <c r="J70" s="98"/>
    </row>
    <row r="71" spans="2:10" ht="12.75" x14ac:dyDescent="0.2">
      <c r="B71" s="200"/>
      <c r="D71" s="98"/>
      <c r="E71" s="98"/>
      <c r="F71" s="98"/>
      <c r="G71" s="98"/>
      <c r="H71" s="98"/>
      <c r="I71" s="98"/>
      <c r="J71" s="98"/>
    </row>
    <row r="72" spans="2:10" ht="12.75" x14ac:dyDescent="0.2">
      <c r="B72" s="200"/>
      <c r="D72" s="98"/>
      <c r="E72" s="98"/>
      <c r="F72" s="98"/>
      <c r="G72" s="98"/>
      <c r="H72" s="98"/>
      <c r="I72" s="98"/>
      <c r="J72" s="98"/>
    </row>
    <row r="73" spans="2:10" ht="12.75" x14ac:dyDescent="0.2">
      <c r="B73" s="200"/>
      <c r="D73" s="98"/>
      <c r="E73" s="98"/>
      <c r="F73" s="98"/>
      <c r="G73" s="98"/>
      <c r="H73" s="98"/>
      <c r="I73" s="98"/>
      <c r="J73" s="98"/>
    </row>
    <row r="74" spans="2:10" ht="12.75" x14ac:dyDescent="0.2">
      <c r="B74" s="200"/>
      <c r="D74" s="98"/>
      <c r="E74" s="98"/>
      <c r="F74" s="98"/>
      <c r="G74" s="98"/>
      <c r="H74" s="98"/>
      <c r="I74" s="98"/>
      <c r="J74" s="98"/>
    </row>
    <row r="75" spans="2:10" ht="12.75" x14ac:dyDescent="0.2">
      <c r="B75" s="200"/>
      <c r="D75" s="98"/>
      <c r="E75" s="98"/>
      <c r="F75" s="98"/>
      <c r="G75" s="98"/>
      <c r="H75" s="98"/>
      <c r="I75" s="98"/>
      <c r="J75" s="98"/>
    </row>
    <row r="76" spans="2:10" ht="12.75" x14ac:dyDescent="0.2">
      <c r="B76" s="200"/>
      <c r="D76" s="98"/>
      <c r="E76" s="98"/>
      <c r="F76" s="98"/>
      <c r="G76" s="98"/>
      <c r="H76" s="98"/>
      <c r="I76" s="98"/>
      <c r="J76" s="98"/>
    </row>
    <row r="77" spans="2:10" ht="12.75" x14ac:dyDescent="0.2">
      <c r="B77" s="200"/>
      <c r="D77" s="98"/>
      <c r="E77" s="98"/>
      <c r="F77" s="98"/>
      <c r="G77" s="98"/>
      <c r="H77" s="98"/>
      <c r="I77" s="98"/>
      <c r="J77" s="98"/>
    </row>
    <row r="78" spans="2:10" ht="12.75" x14ac:dyDescent="0.2">
      <c r="B78" s="200"/>
      <c r="D78" s="98"/>
      <c r="E78" s="98"/>
      <c r="F78" s="98"/>
      <c r="G78" s="98"/>
      <c r="H78" s="98"/>
      <c r="I78" s="98"/>
      <c r="J78" s="98"/>
    </row>
    <row r="79" spans="2:10" ht="12.75" x14ac:dyDescent="0.2">
      <c r="B79" s="200"/>
      <c r="D79" s="98"/>
      <c r="E79" s="98"/>
      <c r="F79" s="98"/>
      <c r="G79" s="98"/>
      <c r="H79" s="98"/>
      <c r="I79" s="98"/>
      <c r="J79" s="98"/>
    </row>
    <row r="80" spans="2:10" ht="12.75" x14ac:dyDescent="0.2">
      <c r="B80" s="200"/>
      <c r="D80" s="98"/>
      <c r="E80" s="98"/>
      <c r="F80" s="98"/>
      <c r="G80" s="98"/>
      <c r="H80" s="98"/>
      <c r="I80" s="98"/>
      <c r="J80" s="98"/>
    </row>
    <row r="81" spans="2:10" ht="12.75" x14ac:dyDescent="0.2">
      <c r="B81" s="200"/>
      <c r="D81" s="98"/>
      <c r="E81" s="98"/>
      <c r="F81" s="98"/>
      <c r="G81" s="98"/>
      <c r="H81" s="98"/>
      <c r="I81" s="98"/>
      <c r="J81" s="98"/>
    </row>
    <row r="82" spans="2:10" ht="12.75" x14ac:dyDescent="0.2">
      <c r="B82" s="200"/>
      <c r="D82" s="98"/>
      <c r="E82" s="98"/>
      <c r="F82" s="98"/>
      <c r="G82" s="98"/>
      <c r="H82" s="98"/>
      <c r="I82" s="98"/>
      <c r="J82" s="98"/>
    </row>
    <row r="83" spans="2:10" ht="12.75" x14ac:dyDescent="0.2">
      <c r="B83" s="200"/>
      <c r="D83" s="98"/>
      <c r="E83" s="98"/>
      <c r="F83" s="98"/>
      <c r="G83" s="98"/>
      <c r="H83" s="98"/>
      <c r="I83" s="98"/>
      <c r="J83" s="98"/>
    </row>
    <row r="84" spans="2:10" ht="12.75" x14ac:dyDescent="0.2">
      <c r="B84" s="200"/>
      <c r="D84" s="98"/>
      <c r="E84" s="98"/>
      <c r="F84" s="98"/>
      <c r="G84" s="98"/>
      <c r="H84" s="98"/>
      <c r="I84" s="98"/>
      <c r="J84" s="98"/>
    </row>
    <row r="85" spans="2:10" ht="12.75" x14ac:dyDescent="0.2">
      <c r="B85" s="200"/>
      <c r="D85" s="98"/>
      <c r="E85" s="98"/>
      <c r="F85" s="98"/>
      <c r="G85" s="98"/>
      <c r="H85" s="98"/>
      <c r="I85" s="98"/>
      <c r="J85" s="98"/>
    </row>
    <row r="86" spans="2:10" ht="12.75" x14ac:dyDescent="0.2">
      <c r="B86" s="200"/>
      <c r="D86" s="98"/>
      <c r="E86" s="98"/>
      <c r="F86" s="98"/>
      <c r="G86" s="98"/>
      <c r="H86" s="98"/>
      <c r="I86" s="98"/>
      <c r="J86" s="98"/>
    </row>
    <row r="87" spans="2:10" ht="12.75" x14ac:dyDescent="0.2">
      <c r="B87" s="200"/>
      <c r="D87" s="98"/>
      <c r="E87" s="98"/>
      <c r="F87" s="98"/>
      <c r="G87" s="98"/>
      <c r="H87" s="98"/>
      <c r="I87" s="98"/>
      <c r="J87" s="98"/>
    </row>
    <row r="88" spans="2:10" ht="12.75" x14ac:dyDescent="0.2">
      <c r="B88" s="200"/>
      <c r="D88" s="98"/>
      <c r="E88" s="98"/>
      <c r="F88" s="98"/>
      <c r="G88" s="98"/>
      <c r="H88" s="98"/>
      <c r="I88" s="98"/>
      <c r="J88" s="98"/>
    </row>
    <row r="89" spans="2:10" ht="12.75" x14ac:dyDescent="0.2">
      <c r="B89" s="200"/>
      <c r="D89" s="98"/>
      <c r="E89" s="98"/>
      <c r="F89" s="98"/>
      <c r="G89" s="98"/>
      <c r="H89" s="98"/>
      <c r="I89" s="98"/>
      <c r="J89" s="98"/>
    </row>
    <row r="90" spans="2:10" ht="12.75" x14ac:dyDescent="0.2">
      <c r="B90" s="200"/>
      <c r="D90" s="98"/>
      <c r="E90" s="98"/>
      <c r="F90" s="98"/>
      <c r="G90" s="98"/>
      <c r="H90" s="98"/>
      <c r="I90" s="98"/>
      <c r="J90" s="98"/>
    </row>
    <row r="91" spans="2:10" ht="12.75" x14ac:dyDescent="0.2">
      <c r="B91" s="200"/>
      <c r="D91" s="98"/>
      <c r="E91" s="98"/>
      <c r="F91" s="98"/>
      <c r="G91" s="98"/>
      <c r="H91" s="98"/>
      <c r="I91" s="98"/>
      <c r="J91" s="98"/>
    </row>
    <row r="92" spans="2:10" ht="12.75" x14ac:dyDescent="0.2">
      <c r="B92" s="200"/>
      <c r="D92" s="98"/>
      <c r="E92" s="98"/>
      <c r="F92" s="98"/>
      <c r="G92" s="98"/>
      <c r="H92" s="98"/>
      <c r="I92" s="98"/>
      <c r="J92" s="98"/>
    </row>
    <row r="93" spans="2:10" ht="12.75" x14ac:dyDescent="0.2">
      <c r="B93" s="200"/>
      <c r="D93" s="98"/>
      <c r="E93" s="98"/>
      <c r="F93" s="98"/>
      <c r="G93" s="98"/>
      <c r="H93" s="98"/>
      <c r="I93" s="98"/>
      <c r="J93" s="98"/>
    </row>
    <row r="94" spans="2:10" ht="12.75" x14ac:dyDescent="0.2">
      <c r="B94" s="200"/>
      <c r="D94" s="98"/>
      <c r="E94" s="98"/>
      <c r="F94" s="98"/>
      <c r="G94" s="98"/>
      <c r="H94" s="98"/>
      <c r="I94" s="98"/>
      <c r="J94" s="98"/>
    </row>
    <row r="95" spans="2:10" ht="12.75" x14ac:dyDescent="0.2">
      <c r="B95" s="200"/>
      <c r="D95" s="98"/>
      <c r="E95" s="98"/>
      <c r="F95" s="98"/>
      <c r="G95" s="98"/>
      <c r="H95" s="98"/>
      <c r="I95" s="98"/>
      <c r="J95" s="98"/>
    </row>
    <row r="96" spans="2:10" ht="12.75" x14ac:dyDescent="0.2">
      <c r="B96" s="200"/>
      <c r="D96" s="98"/>
      <c r="E96" s="98"/>
      <c r="F96" s="98"/>
      <c r="G96" s="98"/>
      <c r="H96" s="98"/>
      <c r="I96" s="98"/>
      <c r="J96" s="98"/>
    </row>
    <row r="97" spans="2:10" ht="12.75" x14ac:dyDescent="0.2">
      <c r="B97" s="200"/>
      <c r="D97" s="98"/>
      <c r="E97" s="98"/>
      <c r="F97" s="98"/>
      <c r="G97" s="98"/>
      <c r="H97" s="98"/>
      <c r="I97" s="98"/>
      <c r="J97" s="98"/>
    </row>
    <row r="98" spans="2:10" ht="12.75" x14ac:dyDescent="0.2">
      <c r="B98" s="200"/>
      <c r="D98" s="98"/>
      <c r="E98" s="98"/>
      <c r="F98" s="98"/>
      <c r="G98" s="98"/>
      <c r="H98" s="98"/>
      <c r="I98" s="98"/>
      <c r="J98" s="98"/>
    </row>
    <row r="99" spans="2:10" ht="12.75" x14ac:dyDescent="0.2">
      <c r="B99" s="200"/>
      <c r="D99" s="98"/>
      <c r="E99" s="98"/>
      <c r="F99" s="98"/>
      <c r="G99" s="98"/>
      <c r="H99" s="98"/>
      <c r="I99" s="98"/>
      <c r="J99" s="98"/>
    </row>
    <row r="100" spans="2:10" ht="12.75" x14ac:dyDescent="0.2">
      <c r="B100" s="200"/>
      <c r="D100" s="98"/>
      <c r="E100" s="98"/>
      <c r="F100" s="98"/>
      <c r="G100" s="98"/>
      <c r="H100" s="98"/>
      <c r="I100" s="98"/>
      <c r="J100" s="98"/>
    </row>
    <row r="101" spans="2:10" ht="12.75" x14ac:dyDescent="0.2">
      <c r="B101" s="200"/>
      <c r="D101" s="98"/>
      <c r="E101" s="98"/>
      <c r="F101" s="98"/>
      <c r="G101" s="98"/>
      <c r="H101" s="98"/>
      <c r="I101" s="98"/>
      <c r="J101" s="98"/>
    </row>
    <row r="102" spans="2:10" ht="12.75" x14ac:dyDescent="0.2">
      <c r="B102" s="200"/>
      <c r="D102" s="98"/>
      <c r="E102" s="98"/>
      <c r="F102" s="98"/>
      <c r="G102" s="98"/>
      <c r="H102" s="98"/>
      <c r="I102" s="98"/>
      <c r="J102" s="98"/>
    </row>
    <row r="103" spans="2:10" ht="12.75" x14ac:dyDescent="0.2">
      <c r="B103" s="200"/>
      <c r="D103" s="98"/>
      <c r="E103" s="98"/>
      <c r="F103" s="98"/>
      <c r="G103" s="98"/>
      <c r="H103" s="98"/>
      <c r="I103" s="98"/>
      <c r="J103" s="98"/>
    </row>
    <row r="104" spans="2:10" ht="12.75" x14ac:dyDescent="0.2">
      <c r="B104" s="200"/>
      <c r="D104" s="98"/>
      <c r="E104" s="98"/>
      <c r="F104" s="98"/>
      <c r="G104" s="98"/>
      <c r="H104" s="98"/>
      <c r="I104" s="98"/>
      <c r="J104" s="98"/>
    </row>
    <row r="105" spans="2:10" ht="12.75" x14ac:dyDescent="0.2">
      <c r="B105" s="200"/>
      <c r="D105" s="98"/>
      <c r="E105" s="98"/>
      <c r="F105" s="98"/>
      <c r="G105" s="98"/>
      <c r="H105" s="98"/>
      <c r="I105" s="98"/>
      <c r="J105" s="98"/>
    </row>
    <row r="106" spans="2:10" ht="12.75" x14ac:dyDescent="0.2">
      <c r="B106" s="200"/>
      <c r="D106" s="98"/>
      <c r="E106" s="98"/>
      <c r="F106" s="98"/>
      <c r="G106" s="98"/>
      <c r="H106" s="98"/>
      <c r="I106" s="98"/>
      <c r="J106" s="98"/>
    </row>
    <row r="107" spans="2:10" ht="12.75" x14ac:dyDescent="0.2">
      <c r="B107" s="200"/>
      <c r="D107" s="98"/>
      <c r="E107" s="98"/>
      <c r="F107" s="98"/>
      <c r="G107" s="98"/>
      <c r="H107" s="98"/>
      <c r="I107" s="98"/>
      <c r="J107" s="98"/>
    </row>
    <row r="108" spans="2:10" ht="12.75" x14ac:dyDescent="0.2">
      <c r="B108" s="200"/>
      <c r="D108" s="98"/>
      <c r="E108" s="98"/>
      <c r="F108" s="98"/>
      <c r="G108" s="98"/>
      <c r="H108" s="98"/>
      <c r="I108" s="98"/>
      <c r="J108" s="98"/>
    </row>
    <row r="109" spans="2:10" ht="12.75" x14ac:dyDescent="0.2">
      <c r="B109" s="200"/>
      <c r="D109" s="98"/>
      <c r="E109" s="98"/>
      <c r="F109" s="98"/>
      <c r="G109" s="98"/>
      <c r="H109" s="98"/>
      <c r="I109" s="98"/>
      <c r="J109" s="98"/>
    </row>
    <row r="110" spans="2:10" ht="12.75" x14ac:dyDescent="0.2">
      <c r="B110" s="200"/>
      <c r="D110" s="98"/>
      <c r="E110" s="98"/>
      <c r="F110" s="98"/>
      <c r="G110" s="98"/>
      <c r="H110" s="98"/>
      <c r="I110" s="98"/>
      <c r="J110" s="98"/>
    </row>
    <row r="111" spans="2:10" ht="12.75" x14ac:dyDescent="0.2">
      <c r="B111" s="200"/>
      <c r="D111" s="98"/>
      <c r="E111" s="98"/>
      <c r="F111" s="98"/>
      <c r="G111" s="98"/>
      <c r="H111" s="98"/>
      <c r="I111" s="98"/>
      <c r="J111" s="98"/>
    </row>
    <row r="112" spans="2:10" ht="12.75" x14ac:dyDescent="0.2">
      <c r="B112" s="200"/>
      <c r="D112" s="98"/>
      <c r="E112" s="98"/>
      <c r="F112" s="98"/>
      <c r="G112" s="98"/>
      <c r="H112" s="98"/>
      <c r="I112" s="98"/>
      <c r="J112" s="98"/>
    </row>
    <row r="113" spans="2:10" ht="12.75" x14ac:dyDescent="0.2">
      <c r="B113" s="200"/>
      <c r="D113" s="98"/>
      <c r="E113" s="98"/>
      <c r="F113" s="98"/>
      <c r="G113" s="98"/>
      <c r="H113" s="98"/>
      <c r="I113" s="98"/>
      <c r="J113" s="98"/>
    </row>
    <row r="114" spans="2:10" ht="12.75" x14ac:dyDescent="0.2">
      <c r="B114" s="200"/>
      <c r="D114" s="98"/>
      <c r="E114" s="98"/>
      <c r="F114" s="98"/>
      <c r="G114" s="98"/>
      <c r="H114" s="98"/>
      <c r="I114" s="98"/>
      <c r="J114" s="98"/>
    </row>
    <row r="115" spans="2:10" ht="12.75" x14ac:dyDescent="0.2">
      <c r="B115" s="200"/>
      <c r="D115" s="98"/>
      <c r="E115" s="98"/>
      <c r="F115" s="98"/>
      <c r="G115" s="98"/>
      <c r="H115" s="98"/>
      <c r="I115" s="98"/>
      <c r="J115" s="98"/>
    </row>
    <row r="116" spans="2:10" ht="12.75" x14ac:dyDescent="0.2">
      <c r="B116" s="200"/>
      <c r="D116" s="98"/>
      <c r="E116" s="98"/>
      <c r="F116" s="98"/>
      <c r="G116" s="98"/>
      <c r="H116" s="98"/>
      <c r="I116" s="98"/>
      <c r="J116" s="98"/>
    </row>
    <row r="117" spans="2:10" ht="12.75" x14ac:dyDescent="0.2">
      <c r="B117" s="200"/>
      <c r="D117" s="98"/>
      <c r="E117" s="98"/>
      <c r="F117" s="98"/>
      <c r="G117" s="98"/>
      <c r="H117" s="98"/>
      <c r="I117" s="98"/>
      <c r="J117" s="98"/>
    </row>
    <row r="118" spans="2:10" ht="12.75" x14ac:dyDescent="0.2">
      <c r="B118" s="200"/>
      <c r="D118" s="98"/>
      <c r="E118" s="98"/>
      <c r="F118" s="98"/>
      <c r="G118" s="98"/>
      <c r="H118" s="98"/>
      <c r="I118" s="98"/>
      <c r="J118" s="98"/>
    </row>
    <row r="119" spans="2:10" ht="12.75" x14ac:dyDescent="0.2">
      <c r="B119" s="200"/>
      <c r="D119" s="98"/>
      <c r="E119" s="98"/>
      <c r="F119" s="98"/>
      <c r="G119" s="98"/>
      <c r="H119" s="98"/>
      <c r="I119" s="98"/>
      <c r="J119" s="98"/>
    </row>
    <row r="120" spans="2:10" ht="12.75" x14ac:dyDescent="0.2">
      <c r="B120" s="200"/>
      <c r="D120" s="98"/>
      <c r="E120" s="98"/>
      <c r="F120" s="98"/>
      <c r="G120" s="98"/>
      <c r="H120" s="98"/>
      <c r="I120" s="98"/>
      <c r="J120" s="98"/>
    </row>
    <row r="121" spans="2:10" ht="12.75" x14ac:dyDescent="0.2">
      <c r="B121" s="200"/>
      <c r="D121" s="98"/>
      <c r="E121" s="98"/>
      <c r="F121" s="98"/>
      <c r="G121" s="98"/>
      <c r="H121" s="98"/>
      <c r="I121" s="98"/>
      <c r="J121" s="98"/>
    </row>
    <row r="122" spans="2:10" ht="12.75" x14ac:dyDescent="0.2">
      <c r="B122" s="200"/>
      <c r="D122" s="98"/>
      <c r="E122" s="98"/>
      <c r="F122" s="98"/>
      <c r="G122" s="98"/>
      <c r="H122" s="98"/>
      <c r="I122" s="98"/>
      <c r="J122" s="98"/>
    </row>
    <row r="123" spans="2:10" ht="12.75" x14ac:dyDescent="0.2">
      <c r="B123" s="200"/>
      <c r="D123" s="98"/>
      <c r="E123" s="98"/>
      <c r="F123" s="98"/>
      <c r="G123" s="98"/>
      <c r="H123" s="98"/>
      <c r="I123" s="98"/>
      <c r="J123" s="98"/>
    </row>
    <row r="124" spans="2:10" ht="12.75" x14ac:dyDescent="0.2">
      <c r="B124" s="200"/>
      <c r="D124" s="98"/>
      <c r="E124" s="98"/>
      <c r="F124" s="98"/>
      <c r="G124" s="98"/>
      <c r="H124" s="98"/>
      <c r="I124" s="98"/>
      <c r="J124" s="98"/>
    </row>
    <row r="125" spans="2:10" ht="12.75" x14ac:dyDescent="0.2">
      <c r="B125" s="200"/>
      <c r="D125" s="98"/>
      <c r="E125" s="98"/>
      <c r="F125" s="98"/>
      <c r="G125" s="98"/>
      <c r="H125" s="98"/>
      <c r="I125" s="98"/>
      <c r="J125" s="98"/>
    </row>
    <row r="126" spans="2:10" ht="12.75" x14ac:dyDescent="0.2">
      <c r="B126" s="200"/>
      <c r="D126" s="98"/>
      <c r="E126" s="98"/>
      <c r="F126" s="98"/>
      <c r="G126" s="98"/>
      <c r="H126" s="98"/>
      <c r="I126" s="98"/>
      <c r="J126" s="98"/>
    </row>
    <row r="127" spans="2:10" ht="12.75" x14ac:dyDescent="0.2">
      <c r="B127" s="200"/>
      <c r="D127" s="98"/>
      <c r="E127" s="98"/>
      <c r="F127" s="98"/>
      <c r="G127" s="98"/>
      <c r="H127" s="98"/>
      <c r="I127" s="98"/>
      <c r="J127" s="98"/>
    </row>
    <row r="128" spans="2:10" ht="12.75" x14ac:dyDescent="0.2">
      <c r="B128" s="200"/>
      <c r="D128" s="98"/>
      <c r="E128" s="98"/>
      <c r="F128" s="98"/>
      <c r="G128" s="98"/>
      <c r="H128" s="98"/>
      <c r="I128" s="98"/>
      <c r="J128" s="98"/>
    </row>
    <row r="129" spans="2:10" ht="12.75" x14ac:dyDescent="0.2">
      <c r="B129" s="200"/>
      <c r="D129" s="98"/>
      <c r="E129" s="98"/>
      <c r="F129" s="98"/>
      <c r="G129" s="98"/>
      <c r="H129" s="98"/>
      <c r="I129" s="98"/>
      <c r="J129" s="98"/>
    </row>
    <row r="130" spans="2:10" ht="12.75" x14ac:dyDescent="0.2">
      <c r="B130" s="200"/>
      <c r="D130" s="98"/>
      <c r="E130" s="98"/>
      <c r="F130" s="98"/>
      <c r="G130" s="98"/>
      <c r="H130" s="98"/>
      <c r="I130" s="98"/>
      <c r="J130" s="98"/>
    </row>
    <row r="131" spans="2:10" ht="12.75" x14ac:dyDescent="0.2">
      <c r="B131" s="200"/>
      <c r="D131" s="98"/>
      <c r="E131" s="98"/>
      <c r="F131" s="98"/>
      <c r="G131" s="98"/>
      <c r="H131" s="98"/>
      <c r="I131" s="98"/>
      <c r="J131" s="98"/>
    </row>
    <row r="132" spans="2:10" ht="12.75" x14ac:dyDescent="0.2">
      <c r="B132" s="200"/>
      <c r="D132" s="98"/>
      <c r="E132" s="98"/>
      <c r="F132" s="98"/>
      <c r="G132" s="98"/>
      <c r="H132" s="98"/>
      <c r="I132" s="98"/>
      <c r="J132" s="98"/>
    </row>
    <row r="133" spans="2:10" ht="12.75" x14ac:dyDescent="0.2">
      <c r="B133" s="200"/>
      <c r="D133" s="98"/>
      <c r="E133" s="98"/>
      <c r="F133" s="98"/>
      <c r="G133" s="98"/>
      <c r="H133" s="98"/>
      <c r="I133" s="98"/>
      <c r="J133" s="98"/>
    </row>
    <row r="134" spans="2:10" ht="12.75" x14ac:dyDescent="0.2">
      <c r="B134" s="200"/>
      <c r="D134" s="98"/>
      <c r="E134" s="98"/>
      <c r="F134" s="98"/>
      <c r="G134" s="98"/>
      <c r="H134" s="98"/>
      <c r="I134" s="98"/>
      <c r="J134" s="98"/>
    </row>
    <row r="135" spans="2:10" ht="12.75" x14ac:dyDescent="0.2">
      <c r="B135" s="200"/>
      <c r="D135" s="98"/>
      <c r="E135" s="98"/>
      <c r="F135" s="98"/>
      <c r="G135" s="98"/>
      <c r="H135" s="98"/>
      <c r="I135" s="98"/>
      <c r="J135" s="98"/>
    </row>
    <row r="136" spans="2:10" ht="12.75" x14ac:dyDescent="0.2">
      <c r="B136" s="200"/>
      <c r="D136" s="98"/>
      <c r="E136" s="98"/>
      <c r="F136" s="98"/>
      <c r="G136" s="98"/>
      <c r="H136" s="98"/>
      <c r="I136" s="98"/>
      <c r="J136" s="98"/>
    </row>
    <row r="137" spans="2:10" ht="12.75" x14ac:dyDescent="0.2">
      <c r="B137" s="200"/>
      <c r="D137" s="98"/>
      <c r="E137" s="98"/>
      <c r="F137" s="98"/>
      <c r="G137" s="98"/>
      <c r="H137" s="98"/>
      <c r="I137" s="98"/>
      <c r="J137" s="98"/>
    </row>
    <row r="138" spans="2:10" ht="12.75" x14ac:dyDescent="0.2">
      <c r="B138" s="200"/>
      <c r="D138" s="98"/>
      <c r="E138" s="98"/>
      <c r="F138" s="98"/>
      <c r="G138" s="98"/>
      <c r="H138" s="98"/>
      <c r="I138" s="98"/>
      <c r="J138" s="98"/>
    </row>
    <row r="139" spans="2:10" ht="12.75" x14ac:dyDescent="0.2">
      <c r="B139" s="200"/>
      <c r="D139" s="98"/>
      <c r="E139" s="98"/>
      <c r="F139" s="98"/>
      <c r="G139" s="98"/>
      <c r="H139" s="98"/>
      <c r="I139" s="98"/>
      <c r="J139" s="98"/>
    </row>
    <row r="140" spans="2:10" ht="12.75" x14ac:dyDescent="0.2">
      <c r="B140" s="200"/>
      <c r="D140" s="98"/>
      <c r="E140" s="98"/>
      <c r="F140" s="98"/>
      <c r="G140" s="98"/>
      <c r="H140" s="98"/>
      <c r="I140" s="98"/>
      <c r="J140" s="98"/>
    </row>
    <row r="141" spans="2:10" ht="12.75" x14ac:dyDescent="0.2">
      <c r="B141" s="200"/>
      <c r="D141" s="98"/>
      <c r="E141" s="98"/>
      <c r="F141" s="98"/>
      <c r="G141" s="98"/>
      <c r="H141" s="98"/>
      <c r="I141" s="98"/>
      <c r="J141" s="98"/>
    </row>
    <row r="142" spans="2:10" ht="12.75" x14ac:dyDescent="0.2">
      <c r="B142" s="200"/>
      <c r="D142" s="98"/>
      <c r="E142" s="98"/>
      <c r="F142" s="98"/>
      <c r="G142" s="98"/>
      <c r="H142" s="98"/>
      <c r="I142" s="98"/>
      <c r="J142" s="98"/>
    </row>
    <row r="143" spans="2:10" ht="12.75" x14ac:dyDescent="0.2">
      <c r="B143" s="200"/>
      <c r="D143" s="98"/>
      <c r="E143" s="98"/>
      <c r="F143" s="98"/>
      <c r="G143" s="98"/>
      <c r="H143" s="98"/>
      <c r="I143" s="98"/>
      <c r="J143" s="98"/>
    </row>
    <row r="144" spans="2:10" ht="12.75" x14ac:dyDescent="0.2">
      <c r="B144" s="200"/>
      <c r="D144" s="98"/>
      <c r="E144" s="98"/>
      <c r="F144" s="98"/>
      <c r="G144" s="98"/>
      <c r="H144" s="98"/>
      <c r="I144" s="98"/>
      <c r="J144" s="98"/>
    </row>
    <row r="145" spans="2:10" ht="12.75" x14ac:dyDescent="0.2">
      <c r="B145" s="200"/>
      <c r="D145" s="98"/>
      <c r="E145" s="98"/>
      <c r="F145" s="98"/>
      <c r="G145" s="98"/>
      <c r="H145" s="98"/>
      <c r="I145" s="98"/>
      <c r="J145" s="98"/>
    </row>
    <row r="146" spans="2:10" ht="12.75" x14ac:dyDescent="0.2">
      <c r="B146" s="200"/>
      <c r="D146" s="98"/>
      <c r="E146" s="98"/>
      <c r="F146" s="98"/>
      <c r="G146" s="98"/>
      <c r="H146" s="98"/>
      <c r="I146" s="98"/>
      <c r="J146" s="98"/>
    </row>
    <row r="147" spans="2:10" ht="12.75" x14ac:dyDescent="0.2">
      <c r="B147" s="200"/>
      <c r="D147" s="98"/>
      <c r="E147" s="98"/>
      <c r="F147" s="98"/>
      <c r="G147" s="98"/>
      <c r="H147" s="98"/>
      <c r="I147" s="98"/>
      <c r="J147" s="98"/>
    </row>
    <row r="148" spans="2:10" ht="12.75" x14ac:dyDescent="0.2">
      <c r="B148" s="200"/>
      <c r="D148" s="98"/>
      <c r="E148" s="98"/>
      <c r="F148" s="98"/>
      <c r="G148" s="98"/>
      <c r="H148" s="98"/>
      <c r="I148" s="98"/>
      <c r="J148" s="98"/>
    </row>
    <row r="149" spans="2:10" ht="12.75" x14ac:dyDescent="0.2">
      <c r="B149" s="200"/>
      <c r="D149" s="98"/>
      <c r="E149" s="98"/>
      <c r="F149" s="98"/>
      <c r="G149" s="98"/>
      <c r="H149" s="98"/>
      <c r="I149" s="98"/>
      <c r="J149" s="98"/>
    </row>
    <row r="150" spans="2:10" ht="12.75" x14ac:dyDescent="0.2">
      <c r="B150" s="200"/>
      <c r="D150" s="98"/>
      <c r="E150" s="98"/>
      <c r="F150" s="98"/>
      <c r="G150" s="98"/>
      <c r="H150" s="98"/>
      <c r="I150" s="98"/>
      <c r="J150" s="98"/>
    </row>
    <row r="151" spans="2:10" ht="12.75" x14ac:dyDescent="0.2">
      <c r="B151" s="200"/>
      <c r="D151" s="98"/>
      <c r="E151" s="98"/>
      <c r="F151" s="98"/>
      <c r="G151" s="98"/>
      <c r="H151" s="98"/>
      <c r="I151" s="98"/>
      <c r="J151" s="98"/>
    </row>
    <row r="152" spans="2:10" ht="12.75" x14ac:dyDescent="0.2">
      <c r="B152" s="200"/>
      <c r="D152" s="98"/>
      <c r="E152" s="98"/>
      <c r="F152" s="98"/>
      <c r="G152" s="98"/>
      <c r="H152" s="98"/>
      <c r="I152" s="98"/>
      <c r="J152" s="98"/>
    </row>
    <row r="153" spans="2:10" ht="12.75" x14ac:dyDescent="0.2">
      <c r="B153" s="200"/>
      <c r="D153" s="98"/>
      <c r="E153" s="98"/>
      <c r="F153" s="98"/>
      <c r="G153" s="98"/>
      <c r="H153" s="98"/>
      <c r="I153" s="98"/>
      <c r="J153" s="98"/>
    </row>
    <row r="154" spans="2:10" ht="12.75" x14ac:dyDescent="0.2">
      <c r="B154" s="200"/>
      <c r="D154" s="98"/>
      <c r="E154" s="98"/>
      <c r="F154" s="98"/>
      <c r="G154" s="98"/>
      <c r="H154" s="98"/>
      <c r="I154" s="98"/>
      <c r="J154" s="98"/>
    </row>
    <row r="155" spans="2:10" ht="12.75" x14ac:dyDescent="0.2">
      <c r="B155" s="200"/>
      <c r="D155" s="98"/>
      <c r="E155" s="98"/>
      <c r="F155" s="98"/>
      <c r="G155" s="98"/>
      <c r="H155" s="98"/>
      <c r="I155" s="98"/>
      <c r="J155" s="98"/>
    </row>
    <row r="156" spans="2:10" ht="12.75" x14ac:dyDescent="0.2">
      <c r="B156" s="200"/>
      <c r="D156" s="98"/>
      <c r="E156" s="98"/>
      <c r="F156" s="98"/>
      <c r="G156" s="98"/>
      <c r="H156" s="98"/>
      <c r="I156" s="98"/>
      <c r="J156" s="98"/>
    </row>
    <row r="157" spans="2:10" ht="12.75" x14ac:dyDescent="0.2">
      <c r="B157" s="200"/>
      <c r="D157" s="98"/>
      <c r="E157" s="98"/>
      <c r="F157" s="98"/>
      <c r="G157" s="98"/>
      <c r="H157" s="98"/>
      <c r="I157" s="98"/>
      <c r="J157" s="98"/>
    </row>
    <row r="158" spans="2:10" ht="12.75" x14ac:dyDescent="0.2">
      <c r="B158" s="200"/>
      <c r="D158" s="98"/>
      <c r="E158" s="98"/>
      <c r="F158" s="98"/>
      <c r="G158" s="98"/>
      <c r="H158" s="98"/>
      <c r="I158" s="98"/>
      <c r="J158" s="98"/>
    </row>
    <row r="159" spans="2:10" ht="12.75" x14ac:dyDescent="0.2">
      <c r="B159" s="200"/>
      <c r="D159" s="98"/>
      <c r="E159" s="98"/>
      <c r="F159" s="98"/>
      <c r="G159" s="98"/>
      <c r="H159" s="98"/>
      <c r="I159" s="98"/>
      <c r="J159" s="98"/>
    </row>
    <row r="160" spans="2:10" ht="12.75" x14ac:dyDescent="0.2">
      <c r="B160" s="200"/>
      <c r="D160" s="98"/>
      <c r="E160" s="98"/>
      <c r="F160" s="98"/>
      <c r="G160" s="98"/>
      <c r="H160" s="98"/>
      <c r="I160" s="98"/>
      <c r="J160" s="98"/>
    </row>
    <row r="161" spans="2:10" ht="12.75" x14ac:dyDescent="0.2">
      <c r="B161" s="200"/>
      <c r="D161" s="98"/>
      <c r="E161" s="98"/>
      <c r="F161" s="98"/>
      <c r="G161" s="98"/>
      <c r="H161" s="98"/>
      <c r="I161" s="98"/>
      <c r="J161" s="98"/>
    </row>
    <row r="162" spans="2:10" ht="12.75" x14ac:dyDescent="0.2">
      <c r="B162" s="200"/>
      <c r="D162" s="98"/>
      <c r="E162" s="98"/>
      <c r="F162" s="98"/>
      <c r="G162" s="98"/>
      <c r="H162" s="98"/>
      <c r="I162" s="98"/>
      <c r="J162" s="98"/>
    </row>
    <row r="163" spans="2:10" ht="12.75" x14ac:dyDescent="0.2">
      <c r="B163" s="200"/>
      <c r="D163" s="98"/>
      <c r="E163" s="98"/>
      <c r="F163" s="98"/>
      <c r="G163" s="98"/>
      <c r="H163" s="98"/>
      <c r="I163" s="98"/>
      <c r="J163" s="98"/>
    </row>
    <row r="164" spans="2:10" ht="12.75" x14ac:dyDescent="0.2">
      <c r="B164" s="200"/>
      <c r="D164" s="98"/>
      <c r="E164" s="98"/>
      <c r="F164" s="98"/>
      <c r="G164" s="98"/>
      <c r="H164" s="98"/>
      <c r="I164" s="98"/>
      <c r="J164" s="98"/>
    </row>
    <row r="165" spans="2:10" ht="12.75" x14ac:dyDescent="0.2">
      <c r="B165" s="200"/>
      <c r="D165" s="98"/>
      <c r="E165" s="98"/>
      <c r="F165" s="98"/>
      <c r="G165" s="98"/>
      <c r="H165" s="98"/>
      <c r="I165" s="98"/>
      <c r="J165" s="98"/>
    </row>
    <row r="166" spans="2:10" ht="12.75" x14ac:dyDescent="0.2">
      <c r="B166" s="200"/>
      <c r="D166" s="98"/>
      <c r="E166" s="98"/>
      <c r="F166" s="98"/>
      <c r="G166" s="98"/>
      <c r="H166" s="98"/>
      <c r="I166" s="98"/>
      <c r="J166" s="98"/>
    </row>
    <row r="167" spans="2:10" ht="12.75" x14ac:dyDescent="0.2">
      <c r="B167" s="200"/>
      <c r="D167" s="98"/>
      <c r="E167" s="98"/>
      <c r="F167" s="98"/>
      <c r="G167" s="98"/>
      <c r="H167" s="98"/>
      <c r="I167" s="98"/>
      <c r="J167" s="98"/>
    </row>
    <row r="168" spans="2:10" ht="12.75" x14ac:dyDescent="0.2">
      <c r="B168" s="200"/>
      <c r="D168" s="98"/>
      <c r="E168" s="98"/>
      <c r="F168" s="98"/>
      <c r="G168" s="98"/>
      <c r="H168" s="98"/>
      <c r="I168" s="98"/>
      <c r="J168" s="98"/>
    </row>
    <row r="169" spans="2:10" ht="12.75" x14ac:dyDescent="0.2">
      <c r="B169" s="200"/>
      <c r="D169" s="98"/>
      <c r="E169" s="98"/>
      <c r="F169" s="98"/>
      <c r="G169" s="98"/>
      <c r="H169" s="98"/>
      <c r="I169" s="98"/>
      <c r="J169" s="98"/>
    </row>
    <row r="170" spans="2:10" ht="12.75" x14ac:dyDescent="0.2">
      <c r="B170" s="200"/>
      <c r="D170" s="98"/>
      <c r="E170" s="98"/>
      <c r="F170" s="98"/>
      <c r="G170" s="98"/>
      <c r="H170" s="98"/>
      <c r="I170" s="98"/>
      <c r="J170" s="98"/>
    </row>
    <row r="171" spans="2:10" ht="12.75" x14ac:dyDescent="0.2">
      <c r="B171" s="200"/>
      <c r="D171" s="98"/>
      <c r="E171" s="98"/>
      <c r="F171" s="98"/>
      <c r="G171" s="98"/>
      <c r="H171" s="98"/>
      <c r="I171" s="98"/>
      <c r="J171" s="98"/>
    </row>
    <row r="172" spans="2:10" ht="12.75" x14ac:dyDescent="0.2">
      <c r="B172" s="200"/>
      <c r="D172" s="98"/>
      <c r="E172" s="98"/>
      <c r="F172" s="98"/>
      <c r="G172" s="98"/>
      <c r="H172" s="98"/>
      <c r="I172" s="98"/>
      <c r="J172" s="98"/>
    </row>
    <row r="173" spans="2:10" ht="12.75" x14ac:dyDescent="0.2">
      <c r="B173" s="200"/>
      <c r="D173" s="98"/>
      <c r="E173" s="98"/>
      <c r="F173" s="98"/>
      <c r="G173" s="98"/>
      <c r="H173" s="98"/>
      <c r="I173" s="98"/>
      <c r="J173" s="98"/>
    </row>
    <row r="174" spans="2:10" ht="12.75" x14ac:dyDescent="0.2">
      <c r="B174" s="200"/>
      <c r="D174" s="98"/>
      <c r="E174" s="98"/>
      <c r="F174" s="98"/>
      <c r="G174" s="98"/>
      <c r="H174" s="98"/>
      <c r="I174" s="98"/>
      <c r="J174" s="98"/>
    </row>
    <row r="175" spans="2:10" ht="12.75" x14ac:dyDescent="0.2">
      <c r="B175" s="200"/>
      <c r="D175" s="98"/>
      <c r="E175" s="98"/>
      <c r="F175" s="98"/>
      <c r="G175" s="98"/>
      <c r="H175" s="98"/>
      <c r="I175" s="98"/>
      <c r="J175" s="98"/>
    </row>
    <row r="176" spans="2:10" ht="12.75" x14ac:dyDescent="0.2">
      <c r="B176" s="200"/>
      <c r="D176" s="98"/>
      <c r="E176" s="98"/>
      <c r="F176" s="98"/>
      <c r="G176" s="98"/>
      <c r="H176" s="98"/>
      <c r="I176" s="98"/>
      <c r="J176" s="98"/>
    </row>
    <row r="177" spans="2:10" ht="12.75" x14ac:dyDescent="0.2">
      <c r="B177" s="200"/>
      <c r="D177" s="98"/>
      <c r="E177" s="98"/>
      <c r="F177" s="98"/>
      <c r="G177" s="98"/>
      <c r="H177" s="98"/>
      <c r="I177" s="98"/>
      <c r="J177" s="98"/>
    </row>
    <row r="178" spans="2:10" ht="12.75" x14ac:dyDescent="0.2">
      <c r="B178" s="200"/>
      <c r="D178" s="98"/>
      <c r="E178" s="98"/>
      <c r="F178" s="98"/>
      <c r="G178" s="98"/>
      <c r="H178" s="98"/>
      <c r="I178" s="98"/>
      <c r="J178" s="98"/>
    </row>
    <row r="179" spans="2:10" ht="12.75" x14ac:dyDescent="0.2">
      <c r="B179" s="200"/>
      <c r="D179" s="98"/>
      <c r="E179" s="98"/>
      <c r="F179" s="98"/>
      <c r="G179" s="98"/>
      <c r="H179" s="98"/>
      <c r="I179" s="98"/>
      <c r="J179" s="98"/>
    </row>
    <row r="180" spans="2:10" ht="12.75" x14ac:dyDescent="0.2">
      <c r="B180" s="200"/>
      <c r="D180" s="98"/>
      <c r="E180" s="98"/>
      <c r="F180" s="98"/>
      <c r="G180" s="98"/>
      <c r="H180" s="98"/>
      <c r="I180" s="98"/>
      <c r="J180" s="98"/>
    </row>
    <row r="181" spans="2:10" ht="12.75" x14ac:dyDescent="0.2">
      <c r="B181" s="200"/>
      <c r="D181" s="98"/>
      <c r="E181" s="98"/>
      <c r="F181" s="98"/>
      <c r="G181" s="98"/>
      <c r="H181" s="98"/>
      <c r="I181" s="98"/>
      <c r="J181" s="98"/>
    </row>
    <row r="182" spans="2:10" ht="12.75" x14ac:dyDescent="0.2">
      <c r="B182" s="200"/>
      <c r="D182" s="98"/>
      <c r="E182" s="98"/>
      <c r="F182" s="98"/>
      <c r="G182" s="98"/>
      <c r="H182" s="98"/>
      <c r="I182" s="98"/>
      <c r="J182" s="98"/>
    </row>
    <row r="183" spans="2:10" ht="12.75" x14ac:dyDescent="0.2">
      <c r="B183" s="200"/>
      <c r="D183" s="98"/>
      <c r="E183" s="98"/>
      <c r="F183" s="98"/>
      <c r="G183" s="98"/>
      <c r="H183" s="98"/>
      <c r="I183" s="98"/>
      <c r="J183" s="98"/>
    </row>
    <row r="184" spans="2:10" ht="12.75" x14ac:dyDescent="0.2">
      <c r="B184" s="200"/>
      <c r="D184" s="98"/>
      <c r="E184" s="98"/>
      <c r="F184" s="98"/>
      <c r="G184" s="98"/>
      <c r="H184" s="98"/>
      <c r="I184" s="98"/>
      <c r="J184" s="98"/>
    </row>
    <row r="185" spans="2:10" ht="12.75" x14ac:dyDescent="0.2">
      <c r="B185" s="200"/>
      <c r="D185" s="98"/>
      <c r="E185" s="98"/>
      <c r="F185" s="98"/>
      <c r="G185" s="98"/>
      <c r="H185" s="98"/>
      <c r="I185" s="98"/>
      <c r="J185" s="98"/>
    </row>
    <row r="186" spans="2:10" ht="12.75" x14ac:dyDescent="0.2">
      <c r="B186" s="200"/>
      <c r="D186" s="98"/>
      <c r="E186" s="98"/>
      <c r="F186" s="98"/>
      <c r="G186" s="98"/>
      <c r="H186" s="98"/>
      <c r="I186" s="98"/>
      <c r="J186" s="98"/>
    </row>
    <row r="187" spans="2:10" ht="12.75" x14ac:dyDescent="0.2">
      <c r="B187" s="200"/>
      <c r="D187" s="98"/>
      <c r="E187" s="98"/>
      <c r="F187" s="98"/>
      <c r="G187" s="98"/>
      <c r="H187" s="98"/>
      <c r="I187" s="98"/>
      <c r="J187" s="98"/>
    </row>
    <row r="188" spans="2:10" ht="12.75" x14ac:dyDescent="0.2">
      <c r="B188" s="200"/>
      <c r="D188" s="98"/>
      <c r="E188" s="98"/>
      <c r="F188" s="98"/>
      <c r="G188" s="98"/>
      <c r="H188" s="98"/>
      <c r="I188" s="98"/>
      <c r="J188" s="98"/>
    </row>
    <row r="189" spans="2:10" ht="12.75" x14ac:dyDescent="0.2">
      <c r="B189" s="200"/>
      <c r="D189" s="98"/>
      <c r="E189" s="98"/>
      <c r="F189" s="98"/>
      <c r="G189" s="98"/>
      <c r="H189" s="98"/>
      <c r="I189" s="98"/>
      <c r="J189" s="98"/>
    </row>
    <row r="190" spans="2:10" ht="12.75" x14ac:dyDescent="0.2">
      <c r="B190" s="200"/>
      <c r="D190" s="98"/>
      <c r="E190" s="98"/>
      <c r="F190" s="98"/>
      <c r="G190" s="98"/>
      <c r="H190" s="98"/>
      <c r="I190" s="98"/>
      <c r="J190" s="98"/>
    </row>
    <row r="191" spans="2:10" ht="12.75" x14ac:dyDescent="0.2">
      <c r="B191" s="200"/>
      <c r="D191" s="98"/>
      <c r="E191" s="98"/>
      <c r="F191" s="98"/>
      <c r="G191" s="98"/>
      <c r="H191" s="98"/>
      <c r="I191" s="98"/>
      <c r="J191" s="98"/>
    </row>
    <row r="192" spans="2:10" ht="12.75" x14ac:dyDescent="0.2">
      <c r="B192" s="200"/>
      <c r="D192" s="98"/>
      <c r="E192" s="98"/>
      <c r="F192" s="98"/>
      <c r="G192" s="98"/>
      <c r="H192" s="98"/>
      <c r="I192" s="98"/>
      <c r="J192" s="98"/>
    </row>
    <row r="193" spans="2:10" ht="12.75" x14ac:dyDescent="0.2">
      <c r="B193" s="200"/>
      <c r="D193" s="98"/>
      <c r="E193" s="98"/>
      <c r="F193" s="98"/>
      <c r="G193" s="98"/>
      <c r="H193" s="98"/>
      <c r="I193" s="98"/>
      <c r="J193" s="98"/>
    </row>
    <row r="194" spans="2:10" ht="12.75" x14ac:dyDescent="0.2">
      <c r="B194" s="200"/>
      <c r="D194" s="98"/>
      <c r="E194" s="98"/>
      <c r="F194" s="98"/>
      <c r="G194" s="98"/>
      <c r="H194" s="98"/>
      <c r="I194" s="98"/>
      <c r="J194" s="98"/>
    </row>
    <row r="195" spans="2:10" ht="12.75" x14ac:dyDescent="0.2">
      <c r="B195" s="200"/>
      <c r="D195" s="98"/>
      <c r="E195" s="98"/>
      <c r="F195" s="98"/>
      <c r="G195" s="98"/>
      <c r="H195" s="98"/>
      <c r="I195" s="98"/>
      <c r="J195" s="98"/>
    </row>
    <row r="196" spans="2:10" ht="12.75" x14ac:dyDescent="0.2">
      <c r="B196" s="200"/>
      <c r="D196" s="98"/>
      <c r="E196" s="98"/>
      <c r="F196" s="98"/>
      <c r="G196" s="98"/>
      <c r="H196" s="98"/>
      <c r="I196" s="98"/>
      <c r="J196" s="98"/>
    </row>
    <row r="197" spans="2:10" ht="12.75" x14ac:dyDescent="0.2">
      <c r="B197" s="200"/>
      <c r="D197" s="98"/>
      <c r="E197" s="98"/>
      <c r="F197" s="98"/>
      <c r="G197" s="98"/>
      <c r="H197" s="98"/>
      <c r="I197" s="98"/>
      <c r="J197" s="98"/>
    </row>
    <row r="198" spans="2:10" ht="12.75" x14ac:dyDescent="0.2">
      <c r="B198" s="200"/>
      <c r="D198" s="98"/>
      <c r="E198" s="98"/>
      <c r="F198" s="98"/>
      <c r="G198" s="98"/>
      <c r="H198" s="98"/>
      <c r="I198" s="98"/>
      <c r="J198" s="98"/>
    </row>
    <row r="199" spans="2:10" ht="12.75" x14ac:dyDescent="0.2">
      <c r="B199" s="200"/>
      <c r="D199" s="98"/>
      <c r="E199" s="98"/>
      <c r="F199" s="98"/>
      <c r="G199" s="98"/>
      <c r="H199" s="98"/>
      <c r="I199" s="98"/>
      <c r="J199" s="98"/>
    </row>
    <row r="200" spans="2:10" ht="12.75" x14ac:dyDescent="0.2">
      <c r="B200" s="200"/>
      <c r="D200" s="98"/>
      <c r="E200" s="98"/>
      <c r="F200" s="98"/>
      <c r="G200" s="98"/>
      <c r="H200" s="98"/>
      <c r="I200" s="98"/>
      <c r="J200" s="98"/>
    </row>
    <row r="201" spans="2:10" ht="12.75" x14ac:dyDescent="0.2">
      <c r="B201" s="200"/>
      <c r="D201" s="98"/>
      <c r="E201" s="98"/>
      <c r="F201" s="98"/>
      <c r="G201" s="98"/>
      <c r="H201" s="98"/>
      <c r="I201" s="98"/>
      <c r="J201" s="98"/>
    </row>
    <row r="202" spans="2:10" ht="12.75" x14ac:dyDescent="0.2">
      <c r="B202" s="200"/>
      <c r="D202" s="98"/>
      <c r="E202" s="98"/>
      <c r="F202" s="98"/>
      <c r="G202" s="98"/>
      <c r="H202" s="98"/>
      <c r="I202" s="98"/>
      <c r="J202" s="98"/>
    </row>
    <row r="203" spans="2:10" ht="12.75" x14ac:dyDescent="0.2">
      <c r="B203" s="200"/>
      <c r="D203" s="98"/>
      <c r="E203" s="98"/>
      <c r="F203" s="98"/>
      <c r="G203" s="98"/>
      <c r="H203" s="98"/>
      <c r="I203" s="98"/>
      <c r="J203" s="98"/>
    </row>
    <row r="204" spans="2:10" ht="12.75" x14ac:dyDescent="0.2">
      <c r="B204" s="200"/>
      <c r="D204" s="98"/>
      <c r="E204" s="98"/>
      <c r="F204" s="98"/>
      <c r="G204" s="98"/>
      <c r="H204" s="98"/>
      <c r="I204" s="98"/>
      <c r="J204" s="98"/>
    </row>
    <row r="205" spans="2:10" ht="12.75" x14ac:dyDescent="0.2">
      <c r="B205" s="200"/>
      <c r="D205" s="98"/>
      <c r="E205" s="98"/>
      <c r="F205" s="98"/>
      <c r="G205" s="98"/>
      <c r="H205" s="98"/>
      <c r="I205" s="98"/>
      <c r="J205" s="98"/>
    </row>
    <row r="206" spans="2:10" ht="12.75" x14ac:dyDescent="0.2">
      <c r="B206" s="200"/>
      <c r="D206" s="98"/>
      <c r="E206" s="98"/>
      <c r="F206" s="98"/>
      <c r="G206" s="98"/>
      <c r="H206" s="98"/>
      <c r="I206" s="98"/>
      <c r="J206" s="98"/>
    </row>
    <row r="207" spans="2:10" ht="12.75" x14ac:dyDescent="0.2">
      <c r="B207" s="200"/>
      <c r="D207" s="98"/>
      <c r="E207" s="98"/>
      <c r="F207" s="98"/>
      <c r="G207" s="98"/>
      <c r="H207" s="98"/>
      <c r="I207" s="98"/>
      <c r="J207" s="98"/>
    </row>
    <row r="208" spans="2:10" ht="12.75" x14ac:dyDescent="0.2">
      <c r="B208" s="200"/>
      <c r="D208" s="98"/>
      <c r="E208" s="98"/>
      <c r="F208" s="98"/>
      <c r="G208" s="98"/>
      <c r="H208" s="98"/>
      <c r="I208" s="98"/>
      <c r="J208" s="98"/>
    </row>
    <row r="209" spans="2:10" ht="12.75" x14ac:dyDescent="0.2">
      <c r="B209" s="200"/>
      <c r="D209" s="98"/>
      <c r="E209" s="98"/>
      <c r="F209" s="98"/>
      <c r="G209" s="98"/>
      <c r="H209" s="98"/>
      <c r="I209" s="98"/>
      <c r="J209" s="98"/>
    </row>
    <row r="210" spans="2:10" ht="12.75" x14ac:dyDescent="0.2">
      <c r="B210" s="200"/>
      <c r="D210" s="98"/>
      <c r="E210" s="98"/>
      <c r="F210" s="98"/>
      <c r="G210" s="98"/>
      <c r="H210" s="98"/>
      <c r="I210" s="98"/>
      <c r="J210" s="98"/>
    </row>
    <row r="211" spans="2:10" ht="12.75" x14ac:dyDescent="0.2">
      <c r="B211" s="200"/>
      <c r="D211" s="98"/>
      <c r="E211" s="98"/>
      <c r="F211" s="98"/>
      <c r="G211" s="98"/>
      <c r="H211" s="98"/>
      <c r="I211" s="98"/>
      <c r="J211" s="98"/>
    </row>
    <row r="212" spans="2:10" ht="12.75" x14ac:dyDescent="0.2">
      <c r="B212" s="200"/>
      <c r="D212" s="98"/>
      <c r="E212" s="98"/>
      <c r="F212" s="98"/>
      <c r="G212" s="98"/>
      <c r="H212" s="98"/>
      <c r="I212" s="98"/>
      <c r="J212" s="98"/>
    </row>
    <row r="213" spans="2:10" ht="12.75" x14ac:dyDescent="0.2">
      <c r="B213" s="200"/>
      <c r="D213" s="98"/>
      <c r="E213" s="98"/>
      <c r="F213" s="98"/>
      <c r="G213" s="98"/>
      <c r="H213" s="98"/>
      <c r="I213" s="98"/>
      <c r="J213" s="98"/>
    </row>
    <row r="214" spans="2:10" ht="12.75" x14ac:dyDescent="0.2">
      <c r="B214" s="200"/>
      <c r="D214" s="98"/>
      <c r="E214" s="98"/>
      <c r="F214" s="98"/>
      <c r="G214" s="98"/>
      <c r="H214" s="98"/>
      <c r="I214" s="98"/>
      <c r="J214" s="98"/>
    </row>
    <row r="215" spans="2:10" ht="12.75" x14ac:dyDescent="0.2">
      <c r="B215" s="200"/>
      <c r="D215" s="98"/>
      <c r="E215" s="98"/>
      <c r="F215" s="98"/>
      <c r="G215" s="98"/>
      <c r="H215" s="98"/>
      <c r="I215" s="98"/>
      <c r="J215" s="98"/>
    </row>
    <row r="216" spans="2:10" ht="12.75" x14ac:dyDescent="0.2">
      <c r="B216" s="200"/>
      <c r="D216" s="98"/>
      <c r="E216" s="98"/>
      <c r="F216" s="98"/>
      <c r="G216" s="98"/>
      <c r="H216" s="98"/>
      <c r="I216" s="98"/>
      <c r="J216" s="98"/>
    </row>
    <row r="217" spans="2:10" ht="12.75" x14ac:dyDescent="0.2">
      <c r="B217" s="200"/>
      <c r="D217" s="98"/>
      <c r="E217" s="98"/>
      <c r="F217" s="98"/>
      <c r="G217" s="98"/>
      <c r="H217" s="98"/>
      <c r="I217" s="98"/>
      <c r="J217" s="98"/>
    </row>
    <row r="218" spans="2:10" ht="12.75" x14ac:dyDescent="0.2">
      <c r="B218" s="200"/>
      <c r="D218" s="98"/>
      <c r="E218" s="98"/>
      <c r="F218" s="98"/>
      <c r="G218" s="98"/>
      <c r="H218" s="98"/>
      <c r="I218" s="98"/>
      <c r="J218" s="98"/>
    </row>
    <row r="219" spans="2:10" ht="12.75" x14ac:dyDescent="0.2">
      <c r="B219" s="200"/>
      <c r="D219" s="98"/>
      <c r="E219" s="98"/>
      <c r="F219" s="98"/>
      <c r="G219" s="98"/>
      <c r="H219" s="98"/>
      <c r="I219" s="98"/>
      <c r="J219" s="98"/>
    </row>
    <row r="220" spans="2:10" ht="12.75" x14ac:dyDescent="0.2">
      <c r="B220" s="200"/>
      <c r="D220" s="98"/>
      <c r="E220" s="98"/>
      <c r="F220" s="98"/>
      <c r="G220" s="98"/>
      <c r="H220" s="98"/>
      <c r="I220" s="98"/>
      <c r="J220" s="98"/>
    </row>
    <row r="221" spans="2:10" ht="12.75" x14ac:dyDescent="0.2">
      <c r="B221" s="200"/>
      <c r="D221" s="98"/>
      <c r="E221" s="98"/>
      <c r="F221" s="98"/>
      <c r="G221" s="98"/>
      <c r="H221" s="98"/>
      <c r="I221" s="98"/>
      <c r="J221" s="98"/>
    </row>
    <row r="222" spans="2:10" ht="12.75" x14ac:dyDescent="0.2">
      <c r="B222" s="200"/>
      <c r="D222" s="98"/>
      <c r="E222" s="98"/>
      <c r="F222" s="98"/>
      <c r="G222" s="98"/>
      <c r="H222" s="98"/>
      <c r="I222" s="98"/>
      <c r="J222" s="98"/>
    </row>
    <row r="223" spans="2:10" ht="12.75" x14ac:dyDescent="0.2">
      <c r="B223" s="200"/>
      <c r="D223" s="98"/>
      <c r="E223" s="98"/>
      <c r="F223" s="98"/>
      <c r="G223" s="98"/>
      <c r="H223" s="98"/>
      <c r="I223" s="98"/>
      <c r="J223" s="98"/>
    </row>
    <row r="224" spans="2:10" ht="12.75" x14ac:dyDescent="0.2">
      <c r="B224" s="200"/>
      <c r="D224" s="98"/>
      <c r="E224" s="98"/>
      <c r="F224" s="98"/>
      <c r="G224" s="98"/>
      <c r="H224" s="98"/>
      <c r="I224" s="98"/>
      <c r="J224" s="98"/>
    </row>
    <row r="225" spans="2:10" ht="12.75" x14ac:dyDescent="0.2">
      <c r="B225" s="200"/>
      <c r="D225" s="98"/>
      <c r="E225" s="98"/>
      <c r="F225" s="98"/>
      <c r="G225" s="98"/>
      <c r="H225" s="98"/>
      <c r="I225" s="98"/>
      <c r="J225" s="98"/>
    </row>
    <row r="226" spans="2:10" ht="12.75" x14ac:dyDescent="0.2">
      <c r="B226" s="200"/>
      <c r="D226" s="98"/>
      <c r="E226" s="98"/>
      <c r="F226" s="98"/>
      <c r="G226" s="98"/>
      <c r="H226" s="98"/>
      <c r="I226" s="98"/>
      <c r="J226" s="98"/>
    </row>
    <row r="227" spans="2:10" ht="12.75" x14ac:dyDescent="0.2">
      <c r="B227" s="200"/>
      <c r="D227" s="98"/>
      <c r="E227" s="98"/>
      <c r="F227" s="98"/>
      <c r="G227" s="98"/>
      <c r="H227" s="98"/>
      <c r="I227" s="98"/>
      <c r="J227" s="98"/>
    </row>
    <row r="228" spans="2:10" ht="12.75" x14ac:dyDescent="0.2">
      <c r="B228" s="200"/>
      <c r="D228" s="98"/>
      <c r="E228" s="98"/>
      <c r="F228" s="98"/>
      <c r="G228" s="98"/>
      <c r="H228" s="98"/>
      <c r="I228" s="98"/>
      <c r="J228" s="98"/>
    </row>
    <row r="229" spans="2:10" ht="12.75" x14ac:dyDescent="0.2">
      <c r="B229" s="200"/>
      <c r="D229" s="98"/>
      <c r="E229" s="98"/>
      <c r="F229" s="98"/>
      <c r="G229" s="98"/>
      <c r="H229" s="98"/>
      <c r="I229" s="98"/>
      <c r="J229" s="98"/>
    </row>
    <row r="230" spans="2:10" ht="12.75" x14ac:dyDescent="0.2">
      <c r="B230" s="200"/>
      <c r="D230" s="98"/>
      <c r="E230" s="98"/>
      <c r="F230" s="98"/>
      <c r="G230" s="98"/>
      <c r="H230" s="98"/>
      <c r="I230" s="98"/>
      <c r="J230" s="98"/>
    </row>
    <row r="231" spans="2:10" ht="12.75" x14ac:dyDescent="0.2">
      <c r="B231" s="200"/>
      <c r="D231" s="98"/>
      <c r="E231" s="98"/>
      <c r="F231" s="98"/>
      <c r="G231" s="98"/>
      <c r="H231" s="98"/>
      <c r="I231" s="98"/>
      <c r="J231" s="98"/>
    </row>
    <row r="232" spans="2:10" ht="12.75" x14ac:dyDescent="0.2">
      <c r="B232" s="200"/>
      <c r="D232" s="98"/>
      <c r="E232" s="98"/>
      <c r="F232" s="98"/>
      <c r="G232" s="98"/>
      <c r="H232" s="98"/>
      <c r="I232" s="98"/>
      <c r="J232" s="98"/>
    </row>
    <row r="233" spans="2:10" ht="12.75" x14ac:dyDescent="0.2">
      <c r="B233" s="200"/>
      <c r="D233" s="98"/>
      <c r="E233" s="98"/>
      <c r="F233" s="98"/>
      <c r="G233" s="98"/>
      <c r="H233" s="98"/>
      <c r="I233" s="98"/>
      <c r="J233" s="98"/>
    </row>
    <row r="234" spans="2:10" ht="12.75" x14ac:dyDescent="0.2">
      <c r="B234" s="200"/>
      <c r="D234" s="98"/>
      <c r="E234" s="98"/>
      <c r="F234" s="98"/>
      <c r="G234" s="98"/>
      <c r="H234" s="98"/>
      <c r="I234" s="98"/>
      <c r="J234" s="98"/>
    </row>
    <row r="235" spans="2:10" ht="12.75" x14ac:dyDescent="0.2">
      <c r="B235" s="200"/>
      <c r="D235" s="98"/>
      <c r="E235" s="98"/>
      <c r="F235" s="98"/>
      <c r="G235" s="98"/>
      <c r="H235" s="98"/>
      <c r="I235" s="98"/>
      <c r="J235" s="98"/>
    </row>
    <row r="236" spans="2:10" ht="12.75" x14ac:dyDescent="0.2">
      <c r="B236" s="200"/>
      <c r="D236" s="98"/>
      <c r="E236" s="98"/>
      <c r="F236" s="98"/>
      <c r="G236" s="98"/>
      <c r="H236" s="98"/>
      <c r="I236" s="98"/>
      <c r="J236" s="98"/>
    </row>
    <row r="237" spans="2:10" ht="12.75" x14ac:dyDescent="0.2">
      <c r="B237" s="200"/>
      <c r="D237" s="98"/>
      <c r="E237" s="98"/>
      <c r="F237" s="98"/>
      <c r="G237" s="98"/>
      <c r="H237" s="98"/>
      <c r="I237" s="98"/>
      <c r="J237" s="98"/>
    </row>
    <row r="238" spans="2:10" ht="12.75" x14ac:dyDescent="0.2">
      <c r="B238" s="200"/>
      <c r="D238" s="98"/>
      <c r="E238" s="98"/>
      <c r="F238" s="98"/>
      <c r="G238" s="98"/>
      <c r="H238" s="98"/>
      <c r="I238" s="98"/>
      <c r="J238" s="98"/>
    </row>
    <row r="239" spans="2:10" ht="12.75" x14ac:dyDescent="0.2">
      <c r="B239" s="200"/>
      <c r="D239" s="98"/>
      <c r="E239" s="98"/>
      <c r="F239" s="98"/>
      <c r="G239" s="98"/>
      <c r="H239" s="98"/>
      <c r="I239" s="98"/>
      <c r="J239" s="98"/>
    </row>
    <row r="240" spans="2:10" ht="12.75" x14ac:dyDescent="0.2">
      <c r="B240" s="200"/>
      <c r="D240" s="98"/>
      <c r="E240" s="98"/>
      <c r="F240" s="98"/>
      <c r="G240" s="98"/>
      <c r="H240" s="98"/>
      <c r="I240" s="98"/>
      <c r="J240" s="98"/>
    </row>
    <row r="241" spans="2:10" ht="12.75" x14ac:dyDescent="0.2">
      <c r="B241" s="200"/>
      <c r="D241" s="98"/>
      <c r="E241" s="98"/>
      <c r="F241" s="98"/>
      <c r="G241" s="98"/>
      <c r="H241" s="98"/>
      <c r="I241" s="98"/>
      <c r="J241" s="98"/>
    </row>
    <row r="242" spans="2:10" ht="12.75" x14ac:dyDescent="0.2">
      <c r="B242" s="200"/>
      <c r="D242" s="98"/>
      <c r="E242" s="98"/>
      <c r="F242" s="98"/>
      <c r="G242" s="98"/>
      <c r="H242" s="98"/>
      <c r="I242" s="98"/>
      <c r="J242" s="98"/>
    </row>
    <row r="243" spans="2:10" ht="12.75" x14ac:dyDescent="0.2">
      <c r="B243" s="200"/>
      <c r="D243" s="98"/>
      <c r="E243" s="98"/>
      <c r="F243" s="98"/>
      <c r="G243" s="98"/>
      <c r="H243" s="98"/>
      <c r="I243" s="98"/>
      <c r="J243" s="98"/>
    </row>
    <row r="244" spans="2:10" ht="12.75" x14ac:dyDescent="0.2">
      <c r="B244" s="200"/>
      <c r="D244" s="98"/>
      <c r="E244" s="98"/>
      <c r="F244" s="98"/>
      <c r="G244" s="98"/>
      <c r="H244" s="98"/>
      <c r="I244" s="98"/>
      <c r="J244" s="98"/>
    </row>
    <row r="245" spans="2:10" ht="12.75" x14ac:dyDescent="0.2">
      <c r="B245" s="200"/>
      <c r="D245" s="98"/>
      <c r="E245" s="98"/>
      <c r="F245" s="98"/>
      <c r="G245" s="98"/>
      <c r="H245" s="98"/>
      <c r="I245" s="98"/>
      <c r="J245" s="98"/>
    </row>
    <row r="246" spans="2:10" ht="12.75" x14ac:dyDescent="0.2">
      <c r="B246" s="200"/>
      <c r="D246" s="98"/>
      <c r="E246" s="98"/>
      <c r="F246" s="98"/>
      <c r="G246" s="98"/>
      <c r="H246" s="98"/>
      <c r="I246" s="98"/>
      <c r="J246" s="98"/>
    </row>
    <row r="247" spans="2:10" ht="12.75" x14ac:dyDescent="0.2">
      <c r="B247" s="200"/>
      <c r="D247" s="98"/>
      <c r="E247" s="98"/>
      <c r="F247" s="98"/>
      <c r="G247" s="98"/>
      <c r="H247" s="98"/>
      <c r="I247" s="98"/>
      <c r="J247" s="98"/>
    </row>
    <row r="248" spans="2:10" ht="12.75" x14ac:dyDescent="0.2">
      <c r="B248" s="200"/>
      <c r="D248" s="98"/>
      <c r="E248" s="98"/>
      <c r="F248" s="98"/>
      <c r="G248" s="98"/>
      <c r="H248" s="98"/>
      <c r="I248" s="98"/>
      <c r="J248" s="98"/>
    </row>
    <row r="249" spans="2:10" ht="12.75" x14ac:dyDescent="0.2">
      <c r="B249" s="200"/>
      <c r="D249" s="98"/>
      <c r="E249" s="98"/>
      <c r="F249" s="98"/>
      <c r="G249" s="98"/>
      <c r="H249" s="98"/>
      <c r="I249" s="98"/>
      <c r="J249" s="98"/>
    </row>
    <row r="250" spans="2:10" ht="12.75" x14ac:dyDescent="0.2">
      <c r="B250" s="200"/>
      <c r="D250" s="98"/>
      <c r="E250" s="98"/>
      <c r="F250" s="98"/>
      <c r="G250" s="98"/>
      <c r="H250" s="98"/>
      <c r="I250" s="98"/>
      <c r="J250" s="98"/>
    </row>
    <row r="251" spans="2:10" ht="12.75" x14ac:dyDescent="0.2">
      <c r="B251" s="200"/>
      <c r="D251" s="98"/>
      <c r="E251" s="98"/>
      <c r="F251" s="98"/>
      <c r="G251" s="98"/>
      <c r="H251" s="98"/>
      <c r="I251" s="98"/>
      <c r="J251" s="98"/>
    </row>
    <row r="252" spans="2:10" ht="12.75" x14ac:dyDescent="0.2">
      <c r="B252" s="200"/>
      <c r="D252" s="98"/>
      <c r="E252" s="98"/>
      <c r="F252" s="98"/>
      <c r="G252" s="98"/>
      <c r="H252" s="98"/>
      <c r="I252" s="98"/>
      <c r="J252" s="98"/>
    </row>
    <row r="253" spans="2:10" ht="12.75" x14ac:dyDescent="0.2">
      <c r="B253" s="200"/>
      <c r="D253" s="98"/>
      <c r="E253" s="98"/>
      <c r="F253" s="98"/>
      <c r="G253" s="98"/>
      <c r="H253" s="98"/>
      <c r="I253" s="98"/>
      <c r="J253" s="98"/>
    </row>
    <row r="254" spans="2:10" ht="12.75" x14ac:dyDescent="0.2">
      <c r="B254" s="200"/>
      <c r="D254" s="98"/>
      <c r="E254" s="98"/>
      <c r="F254" s="98"/>
      <c r="G254" s="98"/>
      <c r="H254" s="98"/>
      <c r="I254" s="98"/>
      <c r="J254" s="98"/>
    </row>
    <row r="255" spans="2:10" ht="12.75" x14ac:dyDescent="0.2">
      <c r="B255" s="200"/>
      <c r="D255" s="98"/>
      <c r="E255" s="98"/>
      <c r="F255" s="98"/>
      <c r="G255" s="98"/>
      <c r="H255" s="98"/>
      <c r="I255" s="98"/>
      <c r="J255" s="98"/>
    </row>
    <row r="256" spans="2:10" ht="12.75" x14ac:dyDescent="0.2">
      <c r="B256" s="200"/>
      <c r="D256" s="98"/>
      <c r="E256" s="98"/>
      <c r="F256" s="98"/>
      <c r="G256" s="98"/>
      <c r="H256" s="98"/>
      <c r="I256" s="98"/>
      <c r="J256" s="98"/>
    </row>
    <row r="257" spans="2:10" ht="12.75" x14ac:dyDescent="0.2">
      <c r="B257" s="200"/>
      <c r="D257" s="98"/>
      <c r="E257" s="98"/>
      <c r="F257" s="98"/>
      <c r="G257" s="98"/>
      <c r="H257" s="98"/>
      <c r="I257" s="98"/>
      <c r="J257" s="98"/>
    </row>
    <row r="258" spans="2:10" ht="12.75" x14ac:dyDescent="0.2">
      <c r="B258" s="200"/>
      <c r="D258" s="98"/>
      <c r="E258" s="98"/>
      <c r="F258" s="98"/>
      <c r="G258" s="98"/>
      <c r="H258" s="98"/>
      <c r="I258" s="98"/>
      <c r="J258" s="98"/>
    </row>
    <row r="259" spans="2:10" ht="12.75" x14ac:dyDescent="0.2">
      <c r="B259" s="200"/>
      <c r="D259" s="98"/>
      <c r="E259" s="98"/>
      <c r="F259" s="98"/>
      <c r="G259" s="98"/>
      <c r="H259" s="98"/>
      <c r="I259" s="98"/>
      <c r="J259" s="98"/>
    </row>
    <row r="260" spans="2:10" ht="12.75" x14ac:dyDescent="0.2">
      <c r="B260" s="200"/>
      <c r="D260" s="98"/>
      <c r="E260" s="98"/>
      <c r="F260" s="98"/>
      <c r="G260" s="98"/>
      <c r="H260" s="98"/>
      <c r="I260" s="98"/>
      <c r="J260" s="98"/>
    </row>
    <row r="261" spans="2:10" ht="12.75" x14ac:dyDescent="0.2">
      <c r="B261" s="200"/>
      <c r="D261" s="98"/>
      <c r="E261" s="98"/>
      <c r="F261" s="98"/>
      <c r="G261" s="98"/>
      <c r="H261" s="98"/>
      <c r="I261" s="98"/>
      <c r="J261" s="98"/>
    </row>
    <row r="262" spans="2:10" ht="12.75" x14ac:dyDescent="0.2">
      <c r="B262" s="200"/>
      <c r="D262" s="98"/>
      <c r="E262" s="98"/>
      <c r="F262" s="98"/>
      <c r="G262" s="98"/>
      <c r="H262" s="98"/>
      <c r="I262" s="98"/>
      <c r="J262" s="98"/>
    </row>
    <row r="263" spans="2:10" ht="12.75" x14ac:dyDescent="0.2">
      <c r="B263" s="200"/>
      <c r="D263" s="98"/>
      <c r="E263" s="98"/>
      <c r="F263" s="98"/>
      <c r="G263" s="98"/>
      <c r="H263" s="98"/>
      <c r="I263" s="98"/>
      <c r="J263" s="98"/>
    </row>
    <row r="264" spans="2:10" ht="12.75" x14ac:dyDescent="0.2">
      <c r="B264" s="200"/>
      <c r="D264" s="98"/>
      <c r="E264" s="98"/>
      <c r="F264" s="98"/>
      <c r="G264" s="98"/>
      <c r="H264" s="98"/>
      <c r="I264" s="98"/>
      <c r="J264" s="98"/>
    </row>
    <row r="265" spans="2:10" ht="12.75" x14ac:dyDescent="0.2">
      <c r="B265" s="200"/>
      <c r="D265" s="98"/>
      <c r="E265" s="98"/>
      <c r="F265" s="98"/>
      <c r="G265" s="98"/>
      <c r="H265" s="98"/>
      <c r="I265" s="98"/>
      <c r="J265" s="98"/>
    </row>
    <row r="266" spans="2:10" ht="12.75" x14ac:dyDescent="0.2">
      <c r="B266" s="200"/>
      <c r="D266" s="98"/>
      <c r="E266" s="98"/>
      <c r="F266" s="98"/>
      <c r="G266" s="98"/>
      <c r="H266" s="98"/>
      <c r="I266" s="98"/>
      <c r="J266" s="98"/>
    </row>
    <row r="267" spans="2:10" ht="12.75" x14ac:dyDescent="0.2">
      <c r="B267" s="200"/>
      <c r="D267" s="98"/>
      <c r="E267" s="98"/>
      <c r="F267" s="98"/>
      <c r="G267" s="98"/>
      <c r="H267" s="98"/>
      <c r="I267" s="98"/>
      <c r="J267" s="98"/>
    </row>
    <row r="268" spans="2:10" ht="12.75" x14ac:dyDescent="0.2">
      <c r="B268" s="200"/>
      <c r="D268" s="98"/>
      <c r="E268" s="98"/>
      <c r="F268" s="98"/>
      <c r="G268" s="98"/>
      <c r="H268" s="98"/>
      <c r="I268" s="98"/>
      <c r="J268" s="98"/>
    </row>
    <row r="269" spans="2:10" ht="12.75" x14ac:dyDescent="0.2">
      <c r="B269" s="200"/>
      <c r="D269" s="98"/>
      <c r="E269" s="98"/>
      <c r="F269" s="98"/>
      <c r="G269" s="98"/>
      <c r="H269" s="98"/>
      <c r="I269" s="98"/>
      <c r="J269" s="98"/>
    </row>
    <row r="270" spans="2:10" ht="12.75" x14ac:dyDescent="0.2">
      <c r="B270" s="200"/>
      <c r="D270" s="98"/>
      <c r="E270" s="98"/>
      <c r="F270" s="98"/>
      <c r="G270" s="98"/>
      <c r="H270" s="98"/>
      <c r="I270" s="98"/>
      <c r="J270" s="98"/>
    </row>
    <row r="271" spans="2:10" ht="12.75" x14ac:dyDescent="0.2">
      <c r="B271" s="200"/>
      <c r="D271" s="98"/>
      <c r="E271" s="98"/>
      <c r="F271" s="98"/>
      <c r="G271" s="98"/>
      <c r="H271" s="98"/>
      <c r="I271" s="98"/>
      <c r="J271" s="98"/>
    </row>
    <row r="272" spans="2:10" ht="12.75" x14ac:dyDescent="0.2">
      <c r="B272" s="200"/>
      <c r="D272" s="98"/>
      <c r="E272" s="98"/>
      <c r="F272" s="98"/>
      <c r="G272" s="98"/>
      <c r="H272" s="98"/>
      <c r="I272" s="98"/>
      <c r="J272" s="98"/>
    </row>
    <row r="273" spans="2:10" ht="12.75" x14ac:dyDescent="0.2">
      <c r="B273" s="200"/>
      <c r="D273" s="98"/>
      <c r="E273" s="98"/>
      <c r="F273" s="98"/>
      <c r="G273" s="98"/>
      <c r="H273" s="98"/>
      <c r="I273" s="98"/>
      <c r="J273" s="98"/>
    </row>
    <row r="274" spans="2:10" ht="12.75" x14ac:dyDescent="0.2">
      <c r="B274" s="200"/>
      <c r="D274" s="98"/>
      <c r="E274" s="98"/>
      <c r="F274" s="98"/>
      <c r="G274" s="98"/>
      <c r="H274" s="98"/>
      <c r="I274" s="98"/>
      <c r="J274" s="98"/>
    </row>
    <row r="275" spans="2:10" ht="12.75" x14ac:dyDescent="0.2">
      <c r="B275" s="200"/>
      <c r="D275" s="98"/>
      <c r="E275" s="98"/>
      <c r="F275" s="98"/>
      <c r="G275" s="98"/>
      <c r="H275" s="98"/>
      <c r="I275" s="98"/>
      <c r="J275" s="98"/>
    </row>
    <row r="276" spans="2:10" ht="12.75" x14ac:dyDescent="0.2">
      <c r="B276" s="200"/>
      <c r="D276" s="98"/>
      <c r="E276" s="98"/>
      <c r="F276" s="98"/>
      <c r="G276" s="98"/>
      <c r="H276" s="98"/>
      <c r="I276" s="98"/>
      <c r="J276" s="98"/>
    </row>
    <row r="277" spans="2:10" ht="12.75" x14ac:dyDescent="0.2">
      <c r="B277" s="200"/>
      <c r="D277" s="98"/>
      <c r="E277" s="98"/>
      <c r="F277" s="98"/>
      <c r="G277" s="98"/>
      <c r="H277" s="98"/>
      <c r="I277" s="98"/>
      <c r="J277" s="98"/>
    </row>
    <row r="278" spans="2:10" ht="12.75" x14ac:dyDescent="0.2">
      <c r="B278" s="200"/>
      <c r="D278" s="98"/>
      <c r="E278" s="98"/>
      <c r="F278" s="98"/>
      <c r="G278" s="98"/>
      <c r="H278" s="98"/>
      <c r="I278" s="98"/>
      <c r="J278" s="98"/>
    </row>
    <row r="279" spans="2:10" ht="12.75" x14ac:dyDescent="0.2">
      <c r="B279" s="200"/>
      <c r="D279" s="98"/>
      <c r="E279" s="98"/>
      <c r="F279" s="98"/>
      <c r="G279" s="98"/>
      <c r="H279" s="98"/>
      <c r="I279" s="98"/>
      <c r="J279" s="98"/>
    </row>
    <row r="280" spans="2:10" ht="12.75" x14ac:dyDescent="0.2">
      <c r="B280" s="200"/>
      <c r="D280" s="98"/>
      <c r="E280" s="98"/>
      <c r="F280" s="98"/>
      <c r="G280" s="98"/>
      <c r="H280" s="98"/>
      <c r="I280" s="98"/>
      <c r="J280" s="98"/>
    </row>
    <row r="281" spans="2:10" ht="12.75" x14ac:dyDescent="0.2">
      <c r="B281" s="200"/>
      <c r="D281" s="98"/>
      <c r="E281" s="98"/>
      <c r="F281" s="98"/>
      <c r="G281" s="98"/>
      <c r="H281" s="98"/>
      <c r="I281" s="98"/>
      <c r="J281" s="98"/>
    </row>
    <row r="282" spans="2:10" ht="12.75" x14ac:dyDescent="0.2">
      <c r="B282" s="200"/>
      <c r="D282" s="98"/>
      <c r="E282" s="98"/>
      <c r="F282" s="98"/>
      <c r="G282" s="98"/>
      <c r="H282" s="98"/>
      <c r="I282" s="98"/>
      <c r="J282" s="98"/>
    </row>
    <row r="283" spans="2:10" ht="12.75" x14ac:dyDescent="0.2">
      <c r="B283" s="200"/>
      <c r="D283" s="98"/>
      <c r="E283" s="98"/>
      <c r="F283" s="98"/>
      <c r="G283" s="98"/>
      <c r="H283" s="98"/>
      <c r="I283" s="98"/>
      <c r="J283" s="98"/>
    </row>
    <row r="284" spans="2:10" ht="12.75" x14ac:dyDescent="0.2">
      <c r="B284" s="200"/>
      <c r="D284" s="98"/>
      <c r="E284" s="98"/>
      <c r="F284" s="98"/>
      <c r="G284" s="98"/>
      <c r="H284" s="98"/>
      <c r="I284" s="98"/>
      <c r="J284" s="98"/>
    </row>
    <row r="285" spans="2:10" ht="12.75" x14ac:dyDescent="0.2">
      <c r="B285" s="200"/>
      <c r="D285" s="98"/>
      <c r="E285" s="98"/>
      <c r="F285" s="98"/>
      <c r="G285" s="98"/>
      <c r="H285" s="98"/>
      <c r="I285" s="98"/>
      <c r="J285" s="98"/>
    </row>
    <row r="286" spans="2:10" ht="12.75" x14ac:dyDescent="0.2">
      <c r="B286" s="200"/>
      <c r="D286" s="98"/>
      <c r="E286" s="98"/>
      <c r="F286" s="98"/>
      <c r="G286" s="98"/>
      <c r="H286" s="98"/>
      <c r="I286" s="98"/>
      <c r="J286" s="98"/>
    </row>
    <row r="287" spans="2:10" ht="12.75" x14ac:dyDescent="0.2">
      <c r="B287" s="200"/>
      <c r="D287" s="98"/>
      <c r="E287" s="98"/>
      <c r="F287" s="98"/>
      <c r="G287" s="98"/>
      <c r="H287" s="98"/>
      <c r="I287" s="98"/>
      <c r="J287" s="98"/>
    </row>
    <row r="288" spans="2:10" ht="12.75" x14ac:dyDescent="0.2">
      <c r="B288" s="200"/>
      <c r="D288" s="98"/>
      <c r="E288" s="98"/>
      <c r="F288" s="98"/>
      <c r="G288" s="98"/>
      <c r="H288" s="98"/>
      <c r="I288" s="98"/>
      <c r="J288" s="98"/>
    </row>
    <row r="289" spans="2:10" ht="12.75" x14ac:dyDescent="0.2">
      <c r="B289" s="200"/>
      <c r="D289" s="98"/>
      <c r="E289" s="98"/>
      <c r="F289" s="98"/>
      <c r="G289" s="98"/>
      <c r="H289" s="98"/>
      <c r="I289" s="98"/>
      <c r="J289" s="98"/>
    </row>
    <row r="290" spans="2:10" ht="12.75" x14ac:dyDescent="0.2">
      <c r="B290" s="200"/>
      <c r="D290" s="98"/>
      <c r="E290" s="98"/>
      <c r="F290" s="98"/>
      <c r="G290" s="98"/>
      <c r="H290" s="98"/>
      <c r="I290" s="98"/>
      <c r="J290" s="98"/>
    </row>
    <row r="291" spans="2:10" ht="12.75" x14ac:dyDescent="0.2">
      <c r="B291" s="200"/>
      <c r="D291" s="98"/>
      <c r="E291" s="98"/>
      <c r="F291" s="98"/>
      <c r="G291" s="98"/>
      <c r="H291" s="98"/>
      <c r="I291" s="98"/>
      <c r="J291" s="98"/>
    </row>
    <row r="292" spans="2:10" ht="12.75" x14ac:dyDescent="0.2">
      <c r="B292" s="200"/>
      <c r="D292" s="98"/>
      <c r="E292" s="98"/>
      <c r="F292" s="98"/>
      <c r="G292" s="98"/>
      <c r="H292" s="98"/>
      <c r="I292" s="98"/>
      <c r="J292" s="98"/>
    </row>
    <row r="293" spans="2:10" ht="12.75" x14ac:dyDescent="0.2">
      <c r="B293" s="200"/>
      <c r="D293" s="98"/>
      <c r="E293" s="98"/>
      <c r="F293" s="98"/>
      <c r="G293" s="98"/>
      <c r="H293" s="98"/>
      <c r="I293" s="98"/>
      <c r="J293" s="98"/>
    </row>
    <row r="294" spans="2:10" ht="12.75" x14ac:dyDescent="0.2">
      <c r="B294" s="200"/>
      <c r="D294" s="98"/>
      <c r="E294" s="98"/>
      <c r="F294" s="98"/>
      <c r="G294" s="98"/>
      <c r="H294" s="98"/>
      <c r="I294" s="98"/>
      <c r="J294" s="98"/>
    </row>
    <row r="295" spans="2:10" ht="12.75" x14ac:dyDescent="0.2">
      <c r="B295" s="200"/>
      <c r="D295" s="98"/>
      <c r="E295" s="98"/>
      <c r="F295" s="98"/>
      <c r="G295" s="98"/>
      <c r="H295" s="98"/>
      <c r="I295" s="98"/>
      <c r="J295" s="98"/>
    </row>
    <row r="296" spans="2:10" ht="12.75" x14ac:dyDescent="0.2">
      <c r="B296" s="200"/>
      <c r="D296" s="98"/>
      <c r="E296" s="98"/>
      <c r="F296" s="98"/>
      <c r="G296" s="98"/>
      <c r="H296" s="98"/>
      <c r="I296" s="98"/>
      <c r="J296" s="98"/>
    </row>
    <row r="297" spans="2:10" ht="12.75" x14ac:dyDescent="0.2">
      <c r="B297" s="200"/>
      <c r="D297" s="98"/>
      <c r="E297" s="98"/>
      <c r="F297" s="98"/>
      <c r="G297" s="98"/>
      <c r="H297" s="98"/>
      <c r="I297" s="98"/>
      <c r="J297" s="98"/>
    </row>
    <row r="298" spans="2:10" ht="12.75" x14ac:dyDescent="0.2">
      <c r="B298" s="200"/>
      <c r="D298" s="98"/>
      <c r="E298" s="98"/>
      <c r="F298" s="98"/>
      <c r="G298" s="98"/>
      <c r="H298" s="98"/>
      <c r="I298" s="98"/>
      <c r="J298" s="98"/>
    </row>
    <row r="299" spans="2:10" ht="12.75" x14ac:dyDescent="0.2">
      <c r="B299" s="200"/>
      <c r="D299" s="98"/>
      <c r="E299" s="98"/>
      <c r="F299" s="98"/>
      <c r="G299" s="98"/>
      <c r="H299" s="98"/>
      <c r="I299" s="98"/>
      <c r="J299" s="98"/>
    </row>
    <row r="300" spans="2:10" ht="12.75" x14ac:dyDescent="0.2">
      <c r="B300" s="200"/>
      <c r="D300" s="98"/>
      <c r="E300" s="98"/>
      <c r="F300" s="98"/>
      <c r="G300" s="98"/>
      <c r="H300" s="98"/>
      <c r="I300" s="98"/>
      <c r="J300" s="98"/>
    </row>
    <row r="301" spans="2:10" ht="12.75" x14ac:dyDescent="0.2">
      <c r="B301" s="200"/>
      <c r="D301" s="98"/>
      <c r="E301" s="98"/>
      <c r="F301" s="98"/>
      <c r="G301" s="98"/>
      <c r="H301" s="98"/>
      <c r="I301" s="98"/>
      <c r="J301" s="98"/>
    </row>
    <row r="302" spans="2:10" ht="12.75" x14ac:dyDescent="0.2">
      <c r="B302" s="200"/>
      <c r="D302" s="98"/>
      <c r="E302" s="98"/>
      <c r="F302" s="98"/>
      <c r="G302" s="98"/>
      <c r="H302" s="98"/>
      <c r="I302" s="98"/>
      <c r="J302" s="98"/>
    </row>
    <row r="303" spans="2:10" ht="12.75" x14ac:dyDescent="0.2">
      <c r="B303" s="200"/>
      <c r="D303" s="98"/>
      <c r="E303" s="98"/>
      <c r="F303" s="98"/>
      <c r="G303" s="98"/>
      <c r="H303" s="98"/>
      <c r="I303" s="98"/>
      <c r="J303" s="98"/>
    </row>
    <row r="304" spans="2:10" ht="12.75" x14ac:dyDescent="0.2">
      <c r="B304" s="200"/>
      <c r="D304" s="98"/>
      <c r="E304" s="98"/>
      <c r="F304" s="98"/>
      <c r="G304" s="98"/>
      <c r="H304" s="98"/>
      <c r="I304" s="98"/>
      <c r="J304" s="98"/>
    </row>
    <row r="305" spans="2:10" ht="12.75" x14ac:dyDescent="0.2">
      <c r="B305" s="200"/>
      <c r="D305" s="98"/>
      <c r="E305" s="98"/>
      <c r="F305" s="98"/>
      <c r="G305" s="98"/>
      <c r="H305" s="98"/>
      <c r="I305" s="98"/>
      <c r="J305" s="98"/>
    </row>
    <row r="306" spans="2:10" ht="12.75" x14ac:dyDescent="0.2">
      <c r="B306" s="200"/>
      <c r="D306" s="98"/>
      <c r="E306" s="98"/>
      <c r="F306" s="98"/>
      <c r="G306" s="98"/>
      <c r="H306" s="98"/>
      <c r="I306" s="98"/>
      <c r="J306" s="98"/>
    </row>
    <row r="307" spans="2:10" ht="12.75" x14ac:dyDescent="0.2">
      <c r="B307" s="200"/>
      <c r="D307" s="98"/>
      <c r="E307" s="98"/>
      <c r="F307" s="98"/>
      <c r="G307" s="98"/>
      <c r="H307" s="98"/>
      <c r="I307" s="98"/>
      <c r="J307" s="98"/>
    </row>
    <row r="308" spans="2:10" ht="12.75" x14ac:dyDescent="0.2">
      <c r="B308" s="200"/>
      <c r="D308" s="98"/>
      <c r="E308" s="98"/>
      <c r="F308" s="98"/>
      <c r="G308" s="98"/>
      <c r="H308" s="98"/>
      <c r="I308" s="98"/>
      <c r="J308" s="98"/>
    </row>
    <row r="309" spans="2:10" ht="12.75" x14ac:dyDescent="0.2">
      <c r="B309" s="200"/>
      <c r="D309" s="98"/>
      <c r="E309" s="98"/>
      <c r="F309" s="98"/>
      <c r="G309" s="98"/>
      <c r="H309" s="98"/>
      <c r="I309" s="98"/>
      <c r="J309" s="98"/>
    </row>
    <row r="310" spans="2:10" ht="12.75" x14ac:dyDescent="0.2">
      <c r="B310" s="200"/>
      <c r="D310" s="98"/>
      <c r="E310" s="98"/>
      <c r="F310" s="98"/>
      <c r="G310" s="98"/>
      <c r="H310" s="98"/>
      <c r="I310" s="98"/>
      <c r="J310" s="98"/>
    </row>
    <row r="311" spans="2:10" ht="12.75" x14ac:dyDescent="0.2">
      <c r="B311" s="200"/>
      <c r="D311" s="98"/>
      <c r="E311" s="98"/>
      <c r="F311" s="98"/>
      <c r="G311" s="98"/>
      <c r="H311" s="98"/>
      <c r="I311" s="98"/>
      <c r="J311" s="98"/>
    </row>
    <row r="312" spans="2:10" ht="12.75" x14ac:dyDescent="0.2">
      <c r="B312" s="200"/>
      <c r="D312" s="98"/>
      <c r="E312" s="98"/>
      <c r="F312" s="98"/>
      <c r="G312" s="98"/>
      <c r="H312" s="98"/>
      <c r="I312" s="98"/>
      <c r="J312" s="98"/>
    </row>
    <row r="313" spans="2:10" ht="12.75" x14ac:dyDescent="0.2">
      <c r="B313" s="200"/>
      <c r="D313" s="98"/>
      <c r="E313" s="98"/>
      <c r="F313" s="98"/>
      <c r="G313" s="98"/>
      <c r="H313" s="98"/>
      <c r="I313" s="98"/>
      <c r="J313" s="98"/>
    </row>
    <row r="314" spans="2:10" ht="12.75" x14ac:dyDescent="0.2">
      <c r="B314" s="200"/>
      <c r="D314" s="98"/>
      <c r="E314" s="98"/>
      <c r="F314" s="98"/>
      <c r="G314" s="98"/>
      <c r="H314" s="98"/>
      <c r="I314" s="98"/>
      <c r="J314" s="98"/>
    </row>
    <row r="315" spans="2:10" ht="12.75" x14ac:dyDescent="0.2">
      <c r="B315" s="200"/>
      <c r="D315" s="98"/>
      <c r="E315" s="98"/>
      <c r="F315" s="98"/>
      <c r="G315" s="98"/>
      <c r="H315" s="98"/>
      <c r="I315" s="98"/>
      <c r="J315" s="98"/>
    </row>
    <row r="316" spans="2:10" ht="12.75" x14ac:dyDescent="0.2">
      <c r="B316" s="200"/>
      <c r="D316" s="98"/>
      <c r="E316" s="98"/>
      <c r="F316" s="98"/>
      <c r="G316" s="98"/>
      <c r="H316" s="98"/>
      <c r="I316" s="98"/>
      <c r="J316" s="98"/>
    </row>
    <row r="317" spans="2:10" ht="12.75" x14ac:dyDescent="0.2">
      <c r="B317" s="200"/>
      <c r="D317" s="98"/>
      <c r="E317" s="98"/>
      <c r="F317" s="98"/>
      <c r="G317" s="98"/>
      <c r="H317" s="98"/>
      <c r="I317" s="98"/>
      <c r="J317" s="98"/>
    </row>
    <row r="318" spans="2:10" ht="12.75" x14ac:dyDescent="0.2">
      <c r="B318" s="200"/>
      <c r="D318" s="98"/>
      <c r="E318" s="98"/>
      <c r="F318" s="98"/>
      <c r="G318" s="98"/>
      <c r="H318" s="98"/>
      <c r="I318" s="98"/>
      <c r="J318" s="98"/>
    </row>
    <row r="319" spans="2:10" ht="12.75" x14ac:dyDescent="0.2">
      <c r="B319" s="200"/>
      <c r="D319" s="98"/>
      <c r="E319" s="98"/>
      <c r="F319" s="98"/>
      <c r="G319" s="98"/>
      <c r="H319" s="98"/>
      <c r="I319" s="98"/>
      <c r="J319" s="98"/>
    </row>
    <row r="320" spans="2:10" ht="12.75" x14ac:dyDescent="0.2">
      <c r="B320" s="200"/>
      <c r="D320" s="98"/>
      <c r="E320" s="98"/>
      <c r="F320" s="98"/>
      <c r="G320" s="98"/>
      <c r="H320" s="98"/>
      <c r="I320" s="98"/>
      <c r="J320" s="98"/>
    </row>
    <row r="321" spans="2:10" ht="12.75" x14ac:dyDescent="0.2">
      <c r="B321" s="200"/>
      <c r="D321" s="98"/>
      <c r="E321" s="98"/>
      <c r="F321" s="98"/>
      <c r="G321" s="98"/>
      <c r="H321" s="98"/>
      <c r="I321" s="98"/>
      <c r="J321" s="98"/>
    </row>
    <row r="322" spans="2:10" ht="12.75" x14ac:dyDescent="0.2">
      <c r="B322" s="200"/>
      <c r="D322" s="98"/>
      <c r="E322" s="98"/>
      <c r="F322" s="98"/>
      <c r="G322" s="98"/>
      <c r="H322" s="98"/>
      <c r="I322" s="98"/>
      <c r="J322" s="98"/>
    </row>
    <row r="323" spans="2:10" ht="12.75" x14ac:dyDescent="0.2">
      <c r="B323" s="200"/>
      <c r="D323" s="98"/>
      <c r="E323" s="98"/>
      <c r="F323" s="98"/>
      <c r="G323" s="98"/>
      <c r="H323" s="98"/>
      <c r="I323" s="98"/>
      <c r="J323" s="98"/>
    </row>
    <row r="324" spans="2:10" ht="12.75" x14ac:dyDescent="0.2">
      <c r="B324" s="200"/>
      <c r="D324" s="98"/>
      <c r="E324" s="98"/>
      <c r="F324" s="98"/>
      <c r="G324" s="98"/>
      <c r="H324" s="98"/>
      <c r="I324" s="98"/>
      <c r="J324" s="98"/>
    </row>
    <row r="325" spans="2:10" ht="12.75" x14ac:dyDescent="0.2">
      <c r="B325" s="200"/>
      <c r="D325" s="98"/>
      <c r="E325" s="98"/>
      <c r="F325" s="98"/>
      <c r="G325" s="98"/>
      <c r="H325" s="98"/>
      <c r="I325" s="98"/>
      <c r="J325" s="98"/>
    </row>
    <row r="326" spans="2:10" ht="12.75" x14ac:dyDescent="0.2">
      <c r="B326" s="200"/>
      <c r="D326" s="98"/>
      <c r="E326" s="98"/>
      <c r="F326" s="98"/>
      <c r="G326" s="98"/>
      <c r="H326" s="98"/>
      <c r="I326" s="98"/>
      <c r="J326" s="98"/>
    </row>
    <row r="327" spans="2:10" ht="12.75" x14ac:dyDescent="0.2">
      <c r="B327" s="200"/>
      <c r="D327" s="98"/>
      <c r="E327" s="98"/>
      <c r="F327" s="98"/>
      <c r="G327" s="98"/>
      <c r="H327" s="98"/>
      <c r="I327" s="98"/>
      <c r="J327" s="98"/>
    </row>
    <row r="328" spans="2:10" ht="12.75" x14ac:dyDescent="0.2">
      <c r="B328" s="200"/>
      <c r="D328" s="98"/>
      <c r="E328" s="98"/>
      <c r="F328" s="98"/>
      <c r="G328" s="98"/>
      <c r="H328" s="98"/>
      <c r="I328" s="98"/>
      <c r="J328" s="98"/>
    </row>
    <row r="329" spans="2:10" ht="12.75" x14ac:dyDescent="0.2">
      <c r="B329" s="200"/>
      <c r="D329" s="98"/>
      <c r="E329" s="98"/>
      <c r="F329" s="98"/>
      <c r="G329" s="98"/>
      <c r="H329" s="98"/>
      <c r="I329" s="98"/>
      <c r="J329" s="98"/>
    </row>
    <row r="330" spans="2:10" ht="12.75" x14ac:dyDescent="0.2">
      <c r="B330" s="200"/>
      <c r="D330" s="98"/>
      <c r="E330" s="98"/>
      <c r="F330" s="98"/>
      <c r="G330" s="98"/>
      <c r="H330" s="98"/>
      <c r="I330" s="98"/>
      <c r="J330" s="98"/>
    </row>
    <row r="331" spans="2:10" ht="12.75" x14ac:dyDescent="0.2">
      <c r="B331" s="200"/>
      <c r="D331" s="98"/>
      <c r="E331" s="98"/>
      <c r="F331" s="98"/>
      <c r="G331" s="98"/>
      <c r="H331" s="98"/>
      <c r="I331" s="98"/>
      <c r="J331" s="98"/>
    </row>
    <row r="332" spans="2:10" ht="12.75" x14ac:dyDescent="0.2">
      <c r="B332" s="200"/>
      <c r="D332" s="98"/>
      <c r="E332" s="98"/>
      <c r="F332" s="98"/>
      <c r="G332" s="98"/>
      <c r="H332" s="98"/>
      <c r="I332" s="98"/>
      <c r="J332" s="98"/>
    </row>
    <row r="333" spans="2:10" ht="12.75" x14ac:dyDescent="0.2">
      <c r="B333" s="200"/>
      <c r="D333" s="98"/>
      <c r="E333" s="98"/>
      <c r="F333" s="98"/>
      <c r="G333" s="98"/>
      <c r="H333" s="98"/>
      <c r="I333" s="98"/>
      <c r="J333" s="98"/>
    </row>
    <row r="334" spans="2:10" ht="12.75" x14ac:dyDescent="0.2">
      <c r="B334" s="200"/>
      <c r="D334" s="98"/>
      <c r="E334" s="98"/>
      <c r="F334" s="98"/>
      <c r="G334" s="98"/>
      <c r="H334" s="98"/>
      <c r="I334" s="98"/>
      <c r="J334" s="98"/>
    </row>
    <row r="335" spans="2:10" ht="12.75" x14ac:dyDescent="0.2">
      <c r="B335" s="200"/>
      <c r="D335" s="98"/>
      <c r="E335" s="98"/>
      <c r="F335" s="98"/>
      <c r="G335" s="98"/>
      <c r="H335" s="98"/>
      <c r="I335" s="98"/>
      <c r="J335" s="98"/>
    </row>
    <row r="336" spans="2:10" ht="12.75" x14ac:dyDescent="0.2">
      <c r="B336" s="200"/>
      <c r="D336" s="98"/>
      <c r="E336" s="98"/>
      <c r="F336" s="98"/>
      <c r="G336" s="98"/>
      <c r="H336" s="98"/>
      <c r="I336" s="98"/>
      <c r="J336" s="98"/>
    </row>
    <row r="337" spans="2:10" ht="12.75" x14ac:dyDescent="0.2">
      <c r="B337" s="200"/>
      <c r="D337" s="98"/>
      <c r="E337" s="98"/>
      <c r="F337" s="98"/>
      <c r="G337" s="98"/>
      <c r="H337" s="98"/>
      <c r="I337" s="98"/>
      <c r="J337" s="98"/>
    </row>
    <row r="338" spans="2:10" ht="12.75" x14ac:dyDescent="0.2">
      <c r="B338" s="200"/>
      <c r="D338" s="98"/>
      <c r="E338" s="98"/>
      <c r="F338" s="98"/>
      <c r="G338" s="98"/>
      <c r="H338" s="98"/>
      <c r="I338" s="98"/>
      <c r="J338" s="98"/>
    </row>
    <row r="339" spans="2:10" ht="12.75" x14ac:dyDescent="0.2">
      <c r="B339" s="200"/>
      <c r="D339" s="98"/>
      <c r="E339" s="98"/>
      <c r="F339" s="98"/>
      <c r="G339" s="98"/>
      <c r="H339" s="98"/>
      <c r="I339" s="98"/>
      <c r="J339" s="98"/>
    </row>
    <row r="340" spans="2:10" ht="12.75" x14ac:dyDescent="0.2">
      <c r="B340" s="200"/>
      <c r="D340" s="98"/>
      <c r="E340" s="98"/>
      <c r="F340" s="98"/>
      <c r="G340" s="98"/>
      <c r="H340" s="98"/>
      <c r="I340" s="98"/>
      <c r="J340" s="98"/>
    </row>
    <row r="341" spans="2:10" ht="12.75" x14ac:dyDescent="0.2">
      <c r="B341" s="200"/>
      <c r="D341" s="98"/>
      <c r="E341" s="98"/>
      <c r="F341" s="98"/>
      <c r="G341" s="98"/>
      <c r="H341" s="98"/>
      <c r="I341" s="98"/>
      <c r="J341" s="98"/>
    </row>
    <row r="342" spans="2:10" ht="12.75" x14ac:dyDescent="0.2">
      <c r="B342" s="200"/>
      <c r="D342" s="98"/>
      <c r="E342" s="98"/>
      <c r="F342" s="98"/>
      <c r="G342" s="98"/>
      <c r="H342" s="98"/>
      <c r="I342" s="98"/>
      <c r="J342" s="98"/>
    </row>
    <row r="343" spans="2:10" ht="12.75" x14ac:dyDescent="0.2">
      <c r="B343" s="200"/>
      <c r="D343" s="98"/>
      <c r="E343" s="98"/>
      <c r="F343" s="98"/>
      <c r="G343" s="98"/>
      <c r="H343" s="98"/>
      <c r="I343" s="98"/>
      <c r="J343" s="98"/>
    </row>
    <row r="344" spans="2:10" ht="12.75" x14ac:dyDescent="0.2">
      <c r="B344" s="200"/>
      <c r="D344" s="98"/>
      <c r="E344" s="98"/>
      <c r="F344" s="98"/>
      <c r="G344" s="98"/>
      <c r="H344" s="98"/>
      <c r="I344" s="98"/>
      <c r="J344" s="98"/>
    </row>
    <row r="345" spans="2:10" ht="12.75" x14ac:dyDescent="0.2">
      <c r="B345" s="200"/>
      <c r="D345" s="98"/>
      <c r="E345" s="98"/>
      <c r="F345" s="98"/>
      <c r="G345" s="98"/>
      <c r="H345" s="98"/>
      <c r="I345" s="98"/>
      <c r="J345" s="98"/>
    </row>
    <row r="346" spans="2:10" ht="12.75" x14ac:dyDescent="0.2">
      <c r="B346" s="200"/>
      <c r="D346" s="98"/>
      <c r="E346" s="98"/>
      <c r="F346" s="98"/>
      <c r="G346" s="98"/>
      <c r="H346" s="98"/>
      <c r="I346" s="98"/>
      <c r="J346" s="98"/>
    </row>
    <row r="347" spans="2:10" ht="12.75" x14ac:dyDescent="0.2">
      <c r="B347" s="200"/>
      <c r="D347" s="98"/>
      <c r="E347" s="98"/>
      <c r="F347" s="98"/>
      <c r="G347" s="98"/>
      <c r="H347" s="98"/>
      <c r="I347" s="98"/>
      <c r="J347" s="98"/>
    </row>
    <row r="348" spans="2:10" ht="12.75" x14ac:dyDescent="0.2">
      <c r="B348" s="200"/>
      <c r="D348" s="98"/>
      <c r="E348" s="98"/>
      <c r="F348" s="98"/>
      <c r="G348" s="98"/>
      <c r="H348" s="98"/>
      <c r="I348" s="98"/>
      <c r="J348" s="98"/>
    </row>
    <row r="349" spans="2:10" ht="12.75" x14ac:dyDescent="0.2">
      <c r="B349" s="200"/>
      <c r="D349" s="98"/>
      <c r="E349" s="98"/>
      <c r="F349" s="98"/>
      <c r="G349" s="98"/>
      <c r="H349" s="98"/>
      <c r="I349" s="98"/>
      <c r="J349" s="98"/>
    </row>
    <row r="350" spans="2:10" ht="12.75" x14ac:dyDescent="0.2">
      <c r="B350" s="200"/>
      <c r="D350" s="98"/>
      <c r="E350" s="98"/>
      <c r="F350" s="98"/>
      <c r="G350" s="98"/>
      <c r="H350" s="98"/>
      <c r="I350" s="98"/>
      <c r="J350" s="98"/>
    </row>
    <row r="351" spans="2:10" ht="12.75" x14ac:dyDescent="0.2">
      <c r="B351" s="200"/>
      <c r="D351" s="98"/>
      <c r="E351" s="98"/>
      <c r="F351" s="98"/>
      <c r="G351" s="98"/>
      <c r="H351" s="98"/>
      <c r="I351" s="98"/>
      <c r="J351" s="98"/>
    </row>
    <row r="352" spans="2:10" ht="12.75" x14ac:dyDescent="0.2">
      <c r="B352" s="200"/>
      <c r="D352" s="98"/>
      <c r="E352" s="98"/>
      <c r="F352" s="98"/>
      <c r="G352" s="98"/>
      <c r="H352" s="98"/>
      <c r="I352" s="98"/>
      <c r="J352" s="98"/>
    </row>
    <row r="353" spans="2:10" ht="12.75" x14ac:dyDescent="0.2">
      <c r="B353" s="200"/>
      <c r="D353" s="98"/>
      <c r="E353" s="98"/>
      <c r="F353" s="98"/>
      <c r="G353" s="98"/>
      <c r="H353" s="98"/>
      <c r="I353" s="98"/>
      <c r="J353" s="98"/>
    </row>
    <row r="354" spans="2:10" ht="12.75" x14ac:dyDescent="0.2">
      <c r="B354" s="200"/>
      <c r="D354" s="98"/>
      <c r="E354" s="98"/>
      <c r="F354" s="98"/>
      <c r="G354" s="98"/>
      <c r="H354" s="98"/>
      <c r="I354" s="98"/>
      <c r="J354" s="98"/>
    </row>
    <row r="355" spans="2:10" ht="12.75" x14ac:dyDescent="0.2">
      <c r="B355" s="200"/>
      <c r="D355" s="98"/>
      <c r="E355" s="98"/>
      <c r="F355" s="98"/>
      <c r="G355" s="98"/>
      <c r="H355" s="98"/>
      <c r="I355" s="98"/>
      <c r="J355" s="98"/>
    </row>
    <row r="356" spans="2:10" ht="12.75" x14ac:dyDescent="0.2">
      <c r="B356" s="200"/>
      <c r="D356" s="98"/>
      <c r="E356" s="98"/>
      <c r="F356" s="98"/>
      <c r="G356" s="98"/>
      <c r="H356" s="98"/>
      <c r="I356" s="98"/>
      <c r="J356" s="98"/>
    </row>
    <row r="357" spans="2:10" ht="12.75" x14ac:dyDescent="0.2">
      <c r="B357" s="200"/>
      <c r="D357" s="98"/>
      <c r="E357" s="98"/>
      <c r="F357" s="98"/>
      <c r="G357" s="98"/>
      <c r="H357" s="98"/>
      <c r="I357" s="98"/>
      <c r="J357" s="98"/>
    </row>
    <row r="358" spans="2:10" ht="12.75" x14ac:dyDescent="0.2">
      <c r="B358" s="200"/>
      <c r="D358" s="98"/>
      <c r="E358" s="98"/>
      <c r="F358" s="98"/>
      <c r="G358" s="98"/>
      <c r="H358" s="98"/>
      <c r="I358" s="98"/>
      <c r="J358" s="98"/>
    </row>
    <row r="359" spans="2:10" ht="12.75" x14ac:dyDescent="0.2">
      <c r="B359" s="200"/>
      <c r="D359" s="98"/>
      <c r="E359" s="98"/>
      <c r="F359" s="98"/>
      <c r="G359" s="98"/>
      <c r="H359" s="98"/>
      <c r="I359" s="98"/>
      <c r="J359" s="98"/>
    </row>
    <row r="360" spans="2:10" ht="12.75" x14ac:dyDescent="0.2">
      <c r="B360" s="200"/>
      <c r="D360" s="98"/>
      <c r="E360" s="98"/>
      <c r="F360" s="98"/>
      <c r="G360" s="98"/>
      <c r="H360" s="98"/>
      <c r="I360" s="98"/>
      <c r="J360" s="98"/>
    </row>
    <row r="361" spans="2:10" ht="12.75" x14ac:dyDescent="0.2">
      <c r="B361" s="200"/>
      <c r="D361" s="98"/>
      <c r="E361" s="98"/>
      <c r="F361" s="98"/>
      <c r="G361" s="98"/>
      <c r="H361" s="98"/>
      <c r="I361" s="98"/>
      <c r="J361" s="98"/>
    </row>
    <row r="362" spans="2:10" ht="12.75" x14ac:dyDescent="0.2">
      <c r="B362" s="200"/>
      <c r="D362" s="98"/>
      <c r="E362" s="98"/>
      <c r="F362" s="98"/>
      <c r="G362" s="98"/>
      <c r="H362" s="98"/>
      <c r="I362" s="98"/>
      <c r="J362" s="98"/>
    </row>
    <row r="363" spans="2:10" ht="12.75" x14ac:dyDescent="0.2">
      <c r="B363" s="200"/>
      <c r="D363" s="98"/>
      <c r="E363" s="98"/>
      <c r="F363" s="98"/>
      <c r="G363" s="98"/>
      <c r="H363" s="98"/>
      <c r="I363" s="98"/>
      <c r="J363" s="98"/>
    </row>
    <row r="364" spans="2:10" ht="12.75" x14ac:dyDescent="0.2">
      <c r="B364" s="200"/>
      <c r="D364" s="98"/>
      <c r="E364" s="98"/>
      <c r="F364" s="98"/>
      <c r="G364" s="98"/>
      <c r="H364" s="98"/>
      <c r="I364" s="98"/>
      <c r="J364" s="98"/>
    </row>
    <row r="365" spans="2:10" ht="12.75" x14ac:dyDescent="0.2">
      <c r="B365" s="200"/>
      <c r="D365" s="98"/>
      <c r="E365" s="98"/>
      <c r="F365" s="98"/>
      <c r="G365" s="98"/>
      <c r="H365" s="98"/>
      <c r="I365" s="98"/>
      <c r="J365" s="98"/>
    </row>
    <row r="366" spans="2:10" ht="12.75" x14ac:dyDescent="0.2">
      <c r="B366" s="200"/>
      <c r="D366" s="98"/>
      <c r="E366" s="98"/>
      <c r="F366" s="98"/>
      <c r="G366" s="98"/>
      <c r="H366" s="98"/>
      <c r="I366" s="98"/>
      <c r="J366" s="98"/>
    </row>
    <row r="367" spans="2:10" ht="12.75" x14ac:dyDescent="0.2">
      <c r="B367" s="200"/>
      <c r="D367" s="98"/>
      <c r="E367" s="98"/>
      <c r="F367" s="98"/>
      <c r="G367" s="98"/>
      <c r="H367" s="98"/>
      <c r="I367" s="98"/>
      <c r="J367" s="98"/>
    </row>
    <row r="368" spans="2:10" ht="12.75" x14ac:dyDescent="0.2">
      <c r="B368" s="200"/>
      <c r="D368" s="98"/>
      <c r="E368" s="98"/>
      <c r="F368" s="98"/>
      <c r="G368" s="98"/>
      <c r="H368" s="98"/>
      <c r="I368" s="98"/>
      <c r="J368" s="98"/>
    </row>
    <row r="369" spans="2:10" ht="12.75" x14ac:dyDescent="0.2">
      <c r="B369" s="200"/>
      <c r="D369" s="98"/>
      <c r="E369" s="98"/>
      <c r="F369" s="98"/>
      <c r="G369" s="98"/>
      <c r="H369" s="98"/>
      <c r="I369" s="98"/>
      <c r="J369" s="98"/>
    </row>
    <row r="370" spans="2:10" ht="12.75" x14ac:dyDescent="0.2">
      <c r="B370" s="200"/>
      <c r="D370" s="98"/>
      <c r="E370" s="98"/>
      <c r="F370" s="98"/>
      <c r="G370" s="98"/>
      <c r="H370" s="98"/>
      <c r="I370" s="98"/>
      <c r="J370" s="98"/>
    </row>
    <row r="371" spans="2:10" ht="12.75" x14ac:dyDescent="0.2">
      <c r="B371" s="200"/>
      <c r="D371" s="98"/>
      <c r="E371" s="98"/>
      <c r="F371" s="98"/>
      <c r="G371" s="98"/>
      <c r="H371" s="98"/>
      <c r="I371" s="98"/>
      <c r="J371" s="98"/>
    </row>
    <row r="372" spans="2:10" ht="12.75" x14ac:dyDescent="0.2">
      <c r="B372" s="200"/>
      <c r="D372" s="98"/>
      <c r="E372" s="98"/>
      <c r="F372" s="98"/>
      <c r="G372" s="98"/>
      <c r="H372" s="98"/>
      <c r="I372" s="98"/>
      <c r="J372" s="98"/>
    </row>
    <row r="373" spans="2:10" ht="12.75" x14ac:dyDescent="0.2">
      <c r="B373" s="200"/>
      <c r="D373" s="98"/>
      <c r="E373" s="98"/>
      <c r="F373" s="98"/>
      <c r="G373" s="98"/>
      <c r="H373" s="98"/>
      <c r="I373" s="98"/>
      <c r="J373" s="98"/>
    </row>
    <row r="374" spans="2:10" ht="12.75" x14ac:dyDescent="0.2">
      <c r="B374" s="200"/>
      <c r="D374" s="98"/>
      <c r="E374" s="98"/>
      <c r="F374" s="98"/>
      <c r="G374" s="98"/>
      <c r="H374" s="98"/>
      <c r="I374" s="98"/>
      <c r="J374" s="98"/>
    </row>
    <row r="375" spans="2:10" ht="12.75" x14ac:dyDescent="0.2">
      <c r="B375" s="200"/>
      <c r="D375" s="98"/>
      <c r="E375" s="98"/>
      <c r="F375" s="98"/>
      <c r="G375" s="98"/>
      <c r="H375" s="98"/>
      <c r="I375" s="98"/>
      <c r="J375" s="98"/>
    </row>
    <row r="376" spans="2:10" ht="12.75" x14ac:dyDescent="0.2">
      <c r="B376" s="200"/>
      <c r="D376" s="98"/>
      <c r="E376" s="98"/>
      <c r="F376" s="98"/>
      <c r="G376" s="98"/>
      <c r="H376" s="98"/>
      <c r="I376" s="98"/>
      <c r="J376" s="98"/>
    </row>
    <row r="377" spans="2:10" ht="12.75" x14ac:dyDescent="0.2">
      <c r="B377" s="200"/>
      <c r="D377" s="98"/>
      <c r="E377" s="98"/>
      <c r="F377" s="98"/>
      <c r="G377" s="98"/>
      <c r="H377" s="98"/>
      <c r="I377" s="98"/>
      <c r="J377" s="98"/>
    </row>
    <row r="378" spans="2:10" ht="12.75" x14ac:dyDescent="0.2">
      <c r="B378" s="200"/>
      <c r="D378" s="98"/>
      <c r="E378" s="98"/>
      <c r="F378" s="98"/>
      <c r="G378" s="98"/>
      <c r="H378" s="98"/>
      <c r="I378" s="98"/>
      <c r="J378" s="98"/>
    </row>
    <row r="379" spans="2:10" ht="12.75" x14ac:dyDescent="0.2">
      <c r="B379" s="200"/>
      <c r="D379" s="98"/>
      <c r="E379" s="98"/>
      <c r="F379" s="98"/>
      <c r="G379" s="98"/>
      <c r="H379" s="98"/>
      <c r="I379" s="98"/>
      <c r="J379" s="98"/>
    </row>
    <row r="380" spans="2:10" ht="12.75" x14ac:dyDescent="0.2">
      <c r="B380" s="200"/>
      <c r="D380" s="98"/>
      <c r="E380" s="98"/>
      <c r="F380" s="98"/>
      <c r="G380" s="98"/>
      <c r="H380" s="98"/>
      <c r="I380" s="98"/>
      <c r="J380" s="98"/>
    </row>
    <row r="381" spans="2:10" ht="12.75" x14ac:dyDescent="0.2">
      <c r="B381" s="200"/>
      <c r="D381" s="98"/>
      <c r="E381" s="98"/>
      <c r="F381" s="98"/>
      <c r="G381" s="98"/>
      <c r="H381" s="98"/>
      <c r="I381" s="98"/>
      <c r="J381" s="98"/>
    </row>
    <row r="382" spans="2:10" ht="12.75" x14ac:dyDescent="0.2">
      <c r="B382" s="200"/>
      <c r="D382" s="98"/>
      <c r="E382" s="98"/>
      <c r="F382" s="98"/>
      <c r="G382" s="98"/>
      <c r="H382" s="98"/>
      <c r="I382" s="98"/>
      <c r="J382" s="98"/>
    </row>
    <row r="383" spans="2:10" ht="12.75" x14ac:dyDescent="0.2">
      <c r="B383" s="200"/>
      <c r="D383" s="98"/>
      <c r="E383" s="98"/>
      <c r="F383" s="98"/>
      <c r="G383" s="98"/>
      <c r="H383" s="98"/>
      <c r="I383" s="98"/>
      <c r="J383" s="98"/>
    </row>
    <row r="384" spans="2:10" ht="12.75" x14ac:dyDescent="0.2">
      <c r="B384" s="200"/>
      <c r="D384" s="98"/>
      <c r="E384" s="98"/>
      <c r="F384" s="98"/>
      <c r="G384" s="98"/>
      <c r="H384" s="98"/>
      <c r="I384" s="98"/>
      <c r="J384" s="98"/>
    </row>
    <row r="385" spans="2:10" ht="12.75" x14ac:dyDescent="0.2">
      <c r="B385" s="200"/>
      <c r="D385" s="98"/>
      <c r="E385" s="98"/>
      <c r="F385" s="98"/>
      <c r="G385" s="98"/>
      <c r="H385" s="98"/>
      <c r="I385" s="98"/>
      <c r="J385" s="98"/>
    </row>
    <row r="386" spans="2:10" ht="12.75" x14ac:dyDescent="0.2">
      <c r="B386" s="200"/>
      <c r="D386" s="98"/>
      <c r="E386" s="98"/>
      <c r="F386" s="98"/>
      <c r="G386" s="98"/>
      <c r="H386" s="98"/>
      <c r="I386" s="98"/>
      <c r="J386" s="98"/>
    </row>
    <row r="387" spans="2:10" ht="12.75" x14ac:dyDescent="0.2">
      <c r="B387" s="200"/>
      <c r="D387" s="98"/>
      <c r="E387" s="98"/>
      <c r="F387" s="98"/>
      <c r="G387" s="98"/>
      <c r="H387" s="98"/>
      <c r="I387" s="98"/>
      <c r="J387" s="98"/>
    </row>
    <row r="388" spans="2:10" ht="12.75" x14ac:dyDescent="0.2">
      <c r="B388" s="200"/>
      <c r="D388" s="98"/>
      <c r="E388" s="98"/>
      <c r="F388" s="98"/>
      <c r="G388" s="98"/>
      <c r="H388" s="98"/>
      <c r="I388" s="98"/>
      <c r="J388" s="98"/>
    </row>
    <row r="389" spans="2:10" ht="12.75" x14ac:dyDescent="0.2">
      <c r="B389" s="200"/>
      <c r="D389" s="98"/>
      <c r="E389" s="98"/>
      <c r="F389" s="98"/>
      <c r="G389" s="98"/>
      <c r="H389" s="98"/>
      <c r="I389" s="98"/>
      <c r="J389" s="98"/>
    </row>
    <row r="390" spans="2:10" ht="12.75" x14ac:dyDescent="0.2">
      <c r="B390" s="200"/>
      <c r="D390" s="98"/>
      <c r="E390" s="98"/>
      <c r="F390" s="98"/>
      <c r="G390" s="98"/>
      <c r="H390" s="98"/>
      <c r="I390" s="98"/>
      <c r="J390" s="98"/>
    </row>
    <row r="391" spans="2:10" ht="12.75" x14ac:dyDescent="0.2">
      <c r="B391" s="200"/>
      <c r="D391" s="98"/>
      <c r="E391" s="98"/>
      <c r="F391" s="98"/>
      <c r="G391" s="98"/>
      <c r="H391" s="98"/>
      <c r="I391" s="98"/>
      <c r="J391" s="98"/>
    </row>
    <row r="392" spans="2:10" ht="12.75" x14ac:dyDescent="0.2">
      <c r="B392" s="200"/>
      <c r="D392" s="98"/>
      <c r="E392" s="98"/>
      <c r="F392" s="98"/>
      <c r="G392" s="98"/>
      <c r="H392" s="98"/>
      <c r="I392" s="98"/>
      <c r="J392" s="98"/>
    </row>
    <row r="393" spans="2:10" ht="12.75" x14ac:dyDescent="0.2">
      <c r="B393" s="200"/>
      <c r="D393" s="98"/>
      <c r="E393" s="98"/>
      <c r="F393" s="98"/>
      <c r="G393" s="98"/>
      <c r="H393" s="98"/>
      <c r="I393" s="98"/>
      <c r="J393" s="98"/>
    </row>
    <row r="394" spans="2:10" ht="12.75" x14ac:dyDescent="0.2">
      <c r="B394" s="200"/>
      <c r="D394" s="98"/>
      <c r="E394" s="98"/>
      <c r="F394" s="98"/>
      <c r="G394" s="98"/>
      <c r="H394" s="98"/>
      <c r="I394" s="98"/>
      <c r="J394" s="98"/>
    </row>
    <row r="395" spans="2:10" ht="12.75" x14ac:dyDescent="0.2">
      <c r="B395" s="200"/>
      <c r="D395" s="98"/>
      <c r="E395" s="98"/>
      <c r="F395" s="98"/>
      <c r="G395" s="98"/>
      <c r="H395" s="98"/>
      <c r="I395" s="98"/>
      <c r="J395" s="98"/>
    </row>
    <row r="396" spans="2:10" ht="12.75" x14ac:dyDescent="0.2">
      <c r="B396" s="200"/>
      <c r="D396" s="98"/>
      <c r="E396" s="98"/>
      <c r="F396" s="98"/>
      <c r="G396" s="98"/>
      <c r="H396" s="98"/>
      <c r="I396" s="98"/>
      <c r="J396" s="98"/>
    </row>
    <row r="397" spans="2:10" ht="12.75" x14ac:dyDescent="0.2">
      <c r="B397" s="200"/>
      <c r="D397" s="98"/>
      <c r="E397" s="98"/>
      <c r="F397" s="98"/>
      <c r="G397" s="98"/>
      <c r="H397" s="98"/>
      <c r="I397" s="98"/>
      <c r="J397" s="98"/>
    </row>
    <row r="398" spans="2:10" ht="12.75" x14ac:dyDescent="0.2">
      <c r="B398" s="200"/>
      <c r="D398" s="98"/>
      <c r="E398" s="98"/>
      <c r="F398" s="98"/>
      <c r="G398" s="98"/>
      <c r="H398" s="98"/>
      <c r="I398" s="98"/>
      <c r="J398" s="98"/>
    </row>
    <row r="399" spans="2:10" ht="12.75" x14ac:dyDescent="0.2">
      <c r="B399" s="200"/>
      <c r="D399" s="98"/>
      <c r="E399" s="98"/>
      <c r="F399" s="98"/>
      <c r="G399" s="98"/>
      <c r="H399" s="98"/>
      <c r="I399" s="98"/>
      <c r="J399" s="98"/>
    </row>
    <row r="400" spans="2:10" ht="12.75" x14ac:dyDescent="0.2">
      <c r="B400" s="200"/>
      <c r="D400" s="98"/>
      <c r="E400" s="98"/>
      <c r="F400" s="98"/>
      <c r="G400" s="98"/>
      <c r="H400" s="98"/>
      <c r="I400" s="98"/>
      <c r="J400" s="98"/>
    </row>
    <row r="401" spans="2:10" ht="12.75" x14ac:dyDescent="0.2">
      <c r="B401" s="200"/>
      <c r="D401" s="98"/>
      <c r="E401" s="98"/>
      <c r="F401" s="98"/>
      <c r="G401" s="98"/>
      <c r="H401" s="98"/>
      <c r="I401" s="98"/>
      <c r="J401" s="98"/>
    </row>
    <row r="402" spans="2:10" ht="12.75" x14ac:dyDescent="0.2">
      <c r="B402" s="200"/>
      <c r="D402" s="98"/>
      <c r="E402" s="98"/>
      <c r="F402" s="98"/>
      <c r="G402" s="98"/>
      <c r="H402" s="98"/>
      <c r="I402" s="98"/>
      <c r="J402" s="98"/>
    </row>
    <row r="403" spans="2:10" ht="12.75" x14ac:dyDescent="0.2">
      <c r="B403" s="200"/>
      <c r="D403" s="98"/>
      <c r="E403" s="98"/>
      <c r="F403" s="98"/>
      <c r="G403" s="98"/>
      <c r="H403" s="98"/>
      <c r="I403" s="98"/>
      <c r="J403" s="98"/>
    </row>
    <row r="404" spans="2:10" ht="12.75" x14ac:dyDescent="0.2">
      <c r="B404" s="200"/>
      <c r="D404" s="98"/>
      <c r="E404" s="98"/>
      <c r="F404" s="98"/>
      <c r="G404" s="98"/>
      <c r="H404" s="98"/>
      <c r="I404" s="98"/>
      <c r="J404" s="98"/>
    </row>
    <row r="405" spans="2:10" ht="12.75" x14ac:dyDescent="0.2">
      <c r="B405" s="200"/>
      <c r="D405" s="98"/>
      <c r="E405" s="98"/>
      <c r="F405" s="98"/>
      <c r="G405" s="98"/>
      <c r="H405" s="98"/>
      <c r="I405" s="98"/>
      <c r="J405" s="98"/>
    </row>
    <row r="406" spans="2:10" ht="12.75" x14ac:dyDescent="0.2">
      <c r="B406" s="200"/>
      <c r="D406" s="98"/>
      <c r="E406" s="98"/>
      <c r="F406" s="98"/>
      <c r="G406" s="98"/>
      <c r="H406" s="98"/>
      <c r="I406" s="98"/>
      <c r="J406" s="98"/>
    </row>
    <row r="407" spans="2:10" ht="12.75" x14ac:dyDescent="0.2">
      <c r="B407" s="200"/>
      <c r="D407" s="98"/>
      <c r="E407" s="98"/>
      <c r="F407" s="98"/>
      <c r="G407" s="98"/>
      <c r="H407" s="98"/>
      <c r="I407" s="98"/>
      <c r="J407" s="98"/>
    </row>
    <row r="408" spans="2:10" ht="12.75" x14ac:dyDescent="0.2">
      <c r="B408" s="200"/>
      <c r="D408" s="98"/>
      <c r="E408" s="98"/>
      <c r="F408" s="98"/>
      <c r="G408" s="98"/>
      <c r="H408" s="98"/>
      <c r="I408" s="98"/>
      <c r="J408" s="98"/>
    </row>
    <row r="409" spans="2:10" ht="12.75" x14ac:dyDescent="0.2">
      <c r="B409" s="200"/>
      <c r="D409" s="98"/>
      <c r="E409" s="98"/>
      <c r="F409" s="98"/>
      <c r="G409" s="98"/>
      <c r="H409" s="98"/>
      <c r="I409" s="98"/>
      <c r="J409" s="98"/>
    </row>
    <row r="410" spans="2:10" ht="12.75" x14ac:dyDescent="0.2">
      <c r="B410" s="200"/>
      <c r="D410" s="98"/>
      <c r="E410" s="98"/>
      <c r="F410" s="98"/>
      <c r="G410" s="98"/>
      <c r="H410" s="98"/>
      <c r="I410" s="98"/>
      <c r="J410" s="98"/>
    </row>
    <row r="411" spans="2:10" ht="12.75" x14ac:dyDescent="0.2">
      <c r="B411" s="200"/>
      <c r="D411" s="98"/>
      <c r="E411" s="98"/>
      <c r="F411" s="98"/>
      <c r="G411" s="98"/>
      <c r="H411" s="98"/>
      <c r="I411" s="98"/>
      <c r="J411" s="98"/>
    </row>
    <row r="412" spans="2:10" ht="12.75" x14ac:dyDescent="0.2">
      <c r="B412" s="200"/>
      <c r="D412" s="98"/>
      <c r="E412" s="98"/>
      <c r="F412" s="98"/>
      <c r="G412" s="98"/>
      <c r="H412" s="98"/>
      <c r="I412" s="98"/>
      <c r="J412" s="98"/>
    </row>
    <row r="413" spans="2:10" ht="12.75" x14ac:dyDescent="0.2">
      <c r="B413" s="200"/>
      <c r="D413" s="98"/>
      <c r="E413" s="98"/>
      <c r="F413" s="98"/>
      <c r="G413" s="98"/>
      <c r="H413" s="98"/>
      <c r="I413" s="98"/>
      <c r="J413" s="98"/>
    </row>
    <row r="414" spans="2:10" ht="12.75" x14ac:dyDescent="0.2">
      <c r="B414" s="200"/>
      <c r="D414" s="98"/>
      <c r="E414" s="98"/>
      <c r="F414" s="98"/>
      <c r="G414" s="98"/>
      <c r="H414" s="98"/>
      <c r="I414" s="98"/>
      <c r="J414" s="98"/>
    </row>
    <row r="415" spans="2:10" ht="12.75" x14ac:dyDescent="0.2">
      <c r="B415" s="200"/>
      <c r="D415" s="98"/>
      <c r="E415" s="98"/>
      <c r="F415" s="98"/>
      <c r="G415" s="98"/>
      <c r="H415" s="98"/>
      <c r="I415" s="98"/>
      <c r="J415" s="98"/>
    </row>
    <row r="416" spans="2:10" ht="12.75" x14ac:dyDescent="0.2">
      <c r="B416" s="200"/>
      <c r="D416" s="98"/>
      <c r="E416" s="98"/>
      <c r="F416" s="98"/>
      <c r="G416" s="98"/>
      <c r="H416" s="98"/>
      <c r="I416" s="98"/>
      <c r="J416" s="98"/>
    </row>
    <row r="417" spans="2:10" ht="12.75" x14ac:dyDescent="0.2">
      <c r="B417" s="200"/>
      <c r="D417" s="98"/>
      <c r="E417" s="98"/>
      <c r="F417" s="98"/>
      <c r="G417" s="98"/>
      <c r="H417" s="98"/>
      <c r="I417" s="98"/>
      <c r="J417" s="98"/>
    </row>
    <row r="418" spans="2:10" ht="12.75" x14ac:dyDescent="0.2">
      <c r="B418" s="200"/>
      <c r="D418" s="98"/>
      <c r="E418" s="98"/>
      <c r="F418" s="98"/>
      <c r="G418" s="98"/>
      <c r="H418" s="98"/>
      <c r="I418" s="98"/>
      <c r="J418" s="98"/>
    </row>
    <row r="419" spans="2:10" ht="12.75" x14ac:dyDescent="0.2">
      <c r="B419" s="200"/>
      <c r="D419" s="98"/>
      <c r="E419" s="98"/>
      <c r="F419" s="98"/>
      <c r="G419" s="98"/>
      <c r="H419" s="98"/>
      <c r="I419" s="98"/>
      <c r="J419" s="98"/>
    </row>
    <row r="420" spans="2:10" ht="12.75" x14ac:dyDescent="0.2">
      <c r="B420" s="200"/>
      <c r="D420" s="98"/>
      <c r="E420" s="98"/>
      <c r="F420" s="98"/>
      <c r="G420" s="98"/>
      <c r="H420" s="98"/>
      <c r="I420" s="98"/>
      <c r="J420" s="98"/>
    </row>
    <row r="421" spans="2:10" ht="12.75" x14ac:dyDescent="0.2">
      <c r="B421" s="200"/>
      <c r="D421" s="98"/>
      <c r="E421" s="98"/>
      <c r="F421" s="98"/>
      <c r="G421" s="98"/>
      <c r="H421" s="98"/>
      <c r="I421" s="98"/>
      <c r="J421" s="98"/>
    </row>
    <row r="422" spans="2:10" ht="12.75" x14ac:dyDescent="0.2">
      <c r="B422" s="200"/>
      <c r="D422" s="98"/>
      <c r="E422" s="98"/>
      <c r="F422" s="98"/>
      <c r="G422" s="98"/>
      <c r="H422" s="98"/>
      <c r="I422" s="98"/>
      <c r="J422" s="98"/>
    </row>
    <row r="423" spans="2:10" ht="12.75" x14ac:dyDescent="0.2">
      <c r="B423" s="200"/>
      <c r="D423" s="98"/>
      <c r="E423" s="98"/>
      <c r="F423" s="98"/>
      <c r="G423" s="98"/>
      <c r="H423" s="98"/>
      <c r="I423" s="98"/>
      <c r="J423" s="98"/>
    </row>
    <row r="424" spans="2:10" ht="12.75" x14ac:dyDescent="0.2">
      <c r="B424" s="200"/>
      <c r="D424" s="98"/>
      <c r="E424" s="98"/>
      <c r="F424" s="98"/>
      <c r="G424" s="98"/>
      <c r="H424" s="98"/>
      <c r="I424" s="98"/>
      <c r="J424" s="98"/>
    </row>
    <row r="425" spans="2:10" ht="12.75" x14ac:dyDescent="0.2">
      <c r="B425" s="200"/>
      <c r="D425" s="98"/>
      <c r="E425" s="98"/>
      <c r="F425" s="98"/>
      <c r="G425" s="98"/>
      <c r="H425" s="98"/>
      <c r="I425" s="98"/>
      <c r="J425" s="98"/>
    </row>
    <row r="426" spans="2:10" ht="12.75" x14ac:dyDescent="0.2">
      <c r="B426" s="200"/>
      <c r="D426" s="98"/>
      <c r="E426" s="98"/>
      <c r="F426" s="98"/>
      <c r="G426" s="98"/>
      <c r="H426" s="98"/>
      <c r="I426" s="98"/>
      <c r="J426" s="98"/>
    </row>
    <row r="427" spans="2:10" ht="12.75" x14ac:dyDescent="0.2">
      <c r="B427" s="200"/>
      <c r="D427" s="98"/>
      <c r="E427" s="98"/>
      <c r="F427" s="98"/>
      <c r="G427" s="98"/>
      <c r="H427" s="98"/>
      <c r="I427" s="98"/>
      <c r="J427" s="98"/>
    </row>
    <row r="428" spans="2:10" ht="12.75" x14ac:dyDescent="0.2">
      <c r="B428" s="200"/>
      <c r="D428" s="98"/>
      <c r="E428" s="98"/>
      <c r="F428" s="98"/>
      <c r="G428" s="98"/>
      <c r="H428" s="98"/>
      <c r="I428" s="98"/>
      <c r="J428" s="98"/>
    </row>
    <row r="429" spans="2:10" ht="12.75" x14ac:dyDescent="0.2">
      <c r="B429" s="200"/>
      <c r="D429" s="98"/>
      <c r="E429" s="98"/>
      <c r="F429" s="98"/>
      <c r="G429" s="98"/>
      <c r="H429" s="98"/>
      <c r="I429" s="98"/>
      <c r="J429" s="98"/>
    </row>
    <row r="430" spans="2:10" ht="12.75" x14ac:dyDescent="0.2">
      <c r="B430" s="200"/>
      <c r="D430" s="98"/>
      <c r="E430" s="98"/>
      <c r="F430" s="98"/>
      <c r="G430" s="98"/>
      <c r="H430" s="98"/>
      <c r="I430" s="98"/>
      <c r="J430" s="98"/>
    </row>
    <row r="431" spans="2:10" ht="12.75" x14ac:dyDescent="0.2">
      <c r="B431" s="200"/>
      <c r="D431" s="98"/>
      <c r="E431" s="98"/>
      <c r="F431" s="98"/>
      <c r="G431" s="98"/>
      <c r="H431" s="98"/>
      <c r="I431" s="98"/>
      <c r="J431" s="98"/>
    </row>
    <row r="432" spans="2:10" ht="12.75" x14ac:dyDescent="0.2">
      <c r="B432" s="200"/>
      <c r="D432" s="98"/>
      <c r="E432" s="98"/>
      <c r="F432" s="98"/>
      <c r="G432" s="98"/>
      <c r="H432" s="98"/>
      <c r="I432" s="98"/>
      <c r="J432" s="98"/>
    </row>
    <row r="433" spans="2:10" ht="12.75" x14ac:dyDescent="0.2">
      <c r="B433" s="200"/>
      <c r="D433" s="98"/>
      <c r="E433" s="98"/>
      <c r="F433" s="98"/>
      <c r="G433" s="98"/>
      <c r="H433" s="98"/>
      <c r="I433" s="98"/>
      <c r="J433" s="98"/>
    </row>
    <row r="434" spans="2:10" ht="12.75" x14ac:dyDescent="0.2">
      <c r="B434" s="200"/>
      <c r="D434" s="98"/>
      <c r="E434" s="98"/>
      <c r="F434" s="98"/>
      <c r="G434" s="98"/>
      <c r="H434" s="98"/>
      <c r="I434" s="98"/>
      <c r="J434" s="98"/>
    </row>
    <row r="435" spans="2:10" ht="12.75" x14ac:dyDescent="0.2">
      <c r="B435" s="200"/>
      <c r="D435" s="98"/>
      <c r="E435" s="98"/>
      <c r="F435" s="98"/>
      <c r="G435" s="98"/>
      <c r="H435" s="98"/>
      <c r="I435" s="98"/>
      <c r="J435" s="98"/>
    </row>
    <row r="436" spans="2:10" ht="12.75" x14ac:dyDescent="0.2">
      <c r="B436" s="200"/>
      <c r="D436" s="98"/>
      <c r="E436" s="98"/>
      <c r="F436" s="98"/>
      <c r="G436" s="98"/>
      <c r="H436" s="98"/>
      <c r="I436" s="98"/>
      <c r="J436" s="98"/>
    </row>
    <row r="437" spans="2:10" ht="12.75" x14ac:dyDescent="0.2">
      <c r="B437" s="200"/>
      <c r="D437" s="98"/>
      <c r="E437" s="98"/>
      <c r="F437" s="98"/>
      <c r="G437" s="98"/>
      <c r="H437" s="98"/>
      <c r="I437" s="98"/>
      <c r="J437" s="98"/>
    </row>
    <row r="438" spans="2:10" ht="12.75" x14ac:dyDescent="0.2">
      <c r="B438" s="200"/>
      <c r="D438" s="98"/>
      <c r="E438" s="98"/>
      <c r="F438" s="98"/>
      <c r="G438" s="98"/>
      <c r="H438" s="98"/>
      <c r="I438" s="98"/>
      <c r="J438" s="98"/>
    </row>
    <row r="439" spans="2:10" ht="12.75" x14ac:dyDescent="0.2">
      <c r="B439" s="200"/>
      <c r="D439" s="98"/>
      <c r="E439" s="98"/>
      <c r="F439" s="98"/>
      <c r="G439" s="98"/>
      <c r="H439" s="98"/>
      <c r="I439" s="98"/>
      <c r="J439" s="98"/>
    </row>
    <row r="440" spans="2:10" ht="12.75" x14ac:dyDescent="0.2">
      <c r="B440" s="200"/>
      <c r="D440" s="98"/>
      <c r="E440" s="98"/>
      <c r="F440" s="98"/>
      <c r="G440" s="98"/>
      <c r="H440" s="98"/>
      <c r="I440" s="98"/>
      <c r="J440" s="98"/>
    </row>
    <row r="441" spans="2:10" ht="12.75" x14ac:dyDescent="0.2">
      <c r="B441" s="200"/>
      <c r="D441" s="98"/>
      <c r="E441" s="98"/>
      <c r="F441" s="98"/>
      <c r="G441" s="98"/>
      <c r="H441" s="98"/>
      <c r="I441" s="98"/>
      <c r="J441" s="98"/>
    </row>
    <row r="442" spans="2:10" ht="12.75" x14ac:dyDescent="0.2">
      <c r="B442" s="200"/>
      <c r="D442" s="98"/>
      <c r="E442" s="98"/>
      <c r="F442" s="98"/>
      <c r="G442" s="98"/>
      <c r="H442" s="98"/>
      <c r="I442" s="98"/>
      <c r="J442" s="98"/>
    </row>
    <row r="443" spans="2:10" ht="12.75" x14ac:dyDescent="0.2">
      <c r="B443" s="200"/>
      <c r="D443" s="98"/>
      <c r="E443" s="98"/>
      <c r="F443" s="98"/>
      <c r="G443" s="98"/>
      <c r="H443" s="98"/>
      <c r="I443" s="98"/>
      <c r="J443" s="98"/>
    </row>
    <row r="444" spans="2:10" ht="12.75" x14ac:dyDescent="0.2">
      <c r="B444" s="200"/>
      <c r="D444" s="98"/>
      <c r="E444" s="98"/>
      <c r="F444" s="98"/>
      <c r="G444" s="98"/>
      <c r="H444" s="98"/>
      <c r="I444" s="98"/>
      <c r="J444" s="98"/>
    </row>
    <row r="445" spans="2:10" ht="12.75" x14ac:dyDescent="0.2">
      <c r="B445" s="200"/>
      <c r="D445" s="98"/>
      <c r="E445" s="98"/>
      <c r="F445" s="98"/>
      <c r="G445" s="98"/>
      <c r="H445" s="98"/>
      <c r="I445" s="98"/>
      <c r="J445" s="98"/>
    </row>
    <row r="446" spans="2:10" ht="12.75" x14ac:dyDescent="0.2">
      <c r="B446" s="200"/>
      <c r="D446" s="98"/>
      <c r="E446" s="98"/>
      <c r="F446" s="98"/>
      <c r="G446" s="98"/>
      <c r="H446" s="98"/>
      <c r="I446" s="98"/>
      <c r="J446" s="98"/>
    </row>
    <row r="447" spans="2:10" ht="12.75" x14ac:dyDescent="0.2">
      <c r="B447" s="200"/>
      <c r="D447" s="98"/>
      <c r="E447" s="98"/>
      <c r="F447" s="98"/>
      <c r="G447" s="98"/>
      <c r="H447" s="98"/>
      <c r="I447" s="98"/>
      <c r="J447" s="98"/>
    </row>
    <row r="448" spans="2:10" ht="12.75" x14ac:dyDescent="0.2">
      <c r="B448" s="200"/>
      <c r="D448" s="98"/>
      <c r="E448" s="98"/>
      <c r="F448" s="98"/>
      <c r="G448" s="98"/>
      <c r="H448" s="98"/>
      <c r="I448" s="98"/>
      <c r="J448" s="98"/>
    </row>
    <row r="449" spans="2:10" ht="12.75" x14ac:dyDescent="0.2">
      <c r="B449" s="200"/>
      <c r="D449" s="98"/>
      <c r="E449" s="98"/>
      <c r="F449" s="98"/>
      <c r="G449" s="98"/>
      <c r="H449" s="98"/>
      <c r="I449" s="98"/>
      <c r="J449" s="98"/>
    </row>
    <row r="450" spans="2:10" ht="12.75" x14ac:dyDescent="0.2">
      <c r="B450" s="200"/>
      <c r="D450" s="98"/>
      <c r="E450" s="98"/>
      <c r="F450" s="98"/>
      <c r="G450" s="98"/>
      <c r="H450" s="98"/>
      <c r="I450" s="98"/>
      <c r="J450" s="98"/>
    </row>
    <row r="451" spans="2:10" ht="12.75" x14ac:dyDescent="0.2">
      <c r="B451" s="200"/>
      <c r="D451" s="98"/>
      <c r="E451" s="98"/>
      <c r="F451" s="98"/>
      <c r="G451" s="98"/>
      <c r="H451" s="98"/>
      <c r="I451" s="98"/>
      <c r="J451" s="98"/>
    </row>
    <row r="452" spans="2:10" ht="12.75" x14ac:dyDescent="0.2">
      <c r="B452" s="200"/>
      <c r="D452" s="98"/>
      <c r="E452" s="98"/>
      <c r="F452" s="98"/>
      <c r="G452" s="98"/>
      <c r="H452" s="98"/>
      <c r="I452" s="98"/>
      <c r="J452" s="98"/>
    </row>
    <row r="453" spans="2:10" ht="12.75" x14ac:dyDescent="0.2">
      <c r="B453" s="200"/>
      <c r="D453" s="98"/>
      <c r="E453" s="98"/>
      <c r="F453" s="98"/>
      <c r="G453" s="98"/>
      <c r="H453" s="98"/>
      <c r="I453" s="98"/>
      <c r="J453" s="98"/>
    </row>
    <row r="454" spans="2:10" ht="12.75" x14ac:dyDescent="0.2">
      <c r="B454" s="200"/>
      <c r="D454" s="98"/>
      <c r="E454" s="98"/>
      <c r="F454" s="98"/>
      <c r="G454" s="98"/>
      <c r="H454" s="98"/>
      <c r="I454" s="98"/>
      <c r="J454" s="98"/>
    </row>
    <row r="455" spans="2:10" ht="12.75" x14ac:dyDescent="0.2">
      <c r="B455" s="200"/>
      <c r="D455" s="98"/>
      <c r="E455" s="98"/>
      <c r="F455" s="98"/>
      <c r="G455" s="98"/>
      <c r="H455" s="98"/>
      <c r="I455" s="98"/>
      <c r="J455" s="98"/>
    </row>
    <row r="456" spans="2:10" ht="12.75" x14ac:dyDescent="0.2">
      <c r="B456" s="200"/>
      <c r="D456" s="98"/>
      <c r="E456" s="98"/>
      <c r="F456" s="98"/>
      <c r="G456" s="98"/>
      <c r="H456" s="98"/>
      <c r="I456" s="98"/>
      <c r="J456" s="98"/>
    </row>
    <row r="457" spans="2:10" ht="12.75" x14ac:dyDescent="0.2">
      <c r="B457" s="200"/>
      <c r="D457" s="98"/>
      <c r="E457" s="98"/>
      <c r="F457" s="98"/>
      <c r="G457" s="98"/>
      <c r="H457" s="98"/>
      <c r="I457" s="98"/>
      <c r="J457" s="98"/>
    </row>
    <row r="458" spans="2:10" ht="12.75" x14ac:dyDescent="0.2">
      <c r="B458" s="200"/>
      <c r="D458" s="98"/>
      <c r="E458" s="98"/>
      <c r="F458" s="98"/>
      <c r="G458" s="98"/>
      <c r="H458" s="98"/>
      <c r="I458" s="98"/>
      <c r="J458" s="98"/>
    </row>
    <row r="459" spans="2:10" ht="12.75" x14ac:dyDescent="0.2">
      <c r="B459" s="200"/>
      <c r="D459" s="98"/>
      <c r="E459" s="98"/>
      <c r="F459" s="98"/>
      <c r="G459" s="98"/>
      <c r="H459" s="98"/>
      <c r="I459" s="98"/>
      <c r="J459" s="98"/>
    </row>
    <row r="460" spans="2:10" ht="12.75" x14ac:dyDescent="0.2">
      <c r="B460" s="200"/>
      <c r="D460" s="98"/>
      <c r="E460" s="98"/>
      <c r="F460" s="98"/>
      <c r="G460" s="98"/>
      <c r="H460" s="98"/>
      <c r="I460" s="98"/>
      <c r="J460" s="98"/>
    </row>
    <row r="461" spans="2:10" ht="12.75" x14ac:dyDescent="0.2">
      <c r="B461" s="200"/>
      <c r="D461" s="98"/>
      <c r="E461" s="98"/>
      <c r="F461" s="98"/>
      <c r="G461" s="98"/>
      <c r="H461" s="98"/>
      <c r="I461" s="98"/>
      <c r="J461" s="98"/>
    </row>
    <row r="462" spans="2:10" ht="12.75" x14ac:dyDescent="0.2">
      <c r="B462" s="200"/>
      <c r="D462" s="98"/>
      <c r="E462" s="98"/>
      <c r="F462" s="98"/>
      <c r="G462" s="98"/>
      <c r="H462" s="98"/>
      <c r="I462" s="98"/>
      <c r="J462" s="98"/>
    </row>
    <row r="463" spans="2:10" ht="12.75" x14ac:dyDescent="0.2">
      <c r="B463" s="200"/>
      <c r="D463" s="98"/>
      <c r="E463" s="98"/>
      <c r="F463" s="98"/>
      <c r="G463" s="98"/>
      <c r="H463" s="98"/>
      <c r="I463" s="98"/>
      <c r="J463" s="98"/>
    </row>
    <row r="464" spans="2:10" ht="12.75" x14ac:dyDescent="0.2">
      <c r="B464" s="200"/>
      <c r="D464" s="98"/>
      <c r="E464" s="98"/>
      <c r="F464" s="98"/>
      <c r="G464" s="98"/>
      <c r="H464" s="98"/>
      <c r="I464" s="98"/>
      <c r="J464" s="98"/>
    </row>
    <row r="465" spans="2:10" ht="12.75" x14ac:dyDescent="0.2">
      <c r="B465" s="200"/>
      <c r="D465" s="98"/>
      <c r="E465" s="98"/>
      <c r="F465" s="98"/>
      <c r="G465" s="98"/>
      <c r="H465" s="98"/>
      <c r="I465" s="98"/>
      <c r="J465" s="98"/>
    </row>
    <row r="466" spans="2:10" ht="12.75" x14ac:dyDescent="0.2">
      <c r="B466" s="200"/>
      <c r="D466" s="98"/>
      <c r="E466" s="98"/>
      <c r="F466" s="98"/>
      <c r="G466" s="98"/>
      <c r="H466" s="98"/>
      <c r="I466" s="98"/>
      <c r="J466" s="98"/>
    </row>
    <row r="467" spans="2:10" ht="12.75" x14ac:dyDescent="0.2">
      <c r="B467" s="200"/>
      <c r="D467" s="98"/>
      <c r="E467" s="98"/>
      <c r="F467" s="98"/>
      <c r="G467" s="98"/>
      <c r="H467" s="98"/>
      <c r="I467" s="98"/>
      <c r="J467" s="98"/>
    </row>
    <row r="468" spans="2:10" ht="12.75" x14ac:dyDescent="0.2">
      <c r="B468" s="200"/>
      <c r="D468" s="98"/>
      <c r="E468" s="98"/>
      <c r="F468" s="98"/>
      <c r="G468" s="98"/>
      <c r="H468" s="98"/>
      <c r="I468" s="98"/>
      <c r="J468" s="98"/>
    </row>
    <row r="469" spans="2:10" ht="12.75" x14ac:dyDescent="0.2">
      <c r="B469" s="200"/>
      <c r="D469" s="98"/>
      <c r="E469" s="98"/>
      <c r="F469" s="98"/>
      <c r="G469" s="98"/>
      <c r="H469" s="98"/>
      <c r="I469" s="98"/>
      <c r="J469" s="98"/>
    </row>
    <row r="470" spans="2:10" ht="12.75" x14ac:dyDescent="0.2">
      <c r="B470" s="200"/>
      <c r="D470" s="98"/>
      <c r="E470" s="98"/>
      <c r="F470" s="98"/>
      <c r="G470" s="98"/>
      <c r="H470" s="98"/>
      <c r="I470" s="98"/>
      <c r="J470" s="98"/>
    </row>
    <row r="471" spans="2:10" ht="12.75" x14ac:dyDescent="0.2">
      <c r="B471" s="200"/>
      <c r="D471" s="98"/>
      <c r="E471" s="98"/>
      <c r="F471" s="98"/>
      <c r="G471" s="98"/>
      <c r="H471" s="98"/>
      <c r="I471" s="98"/>
      <c r="J471" s="98"/>
    </row>
    <row r="472" spans="2:10" ht="12.75" x14ac:dyDescent="0.2">
      <c r="B472" s="200"/>
      <c r="D472" s="98"/>
      <c r="E472" s="98"/>
      <c r="F472" s="98"/>
      <c r="G472" s="98"/>
      <c r="H472" s="98"/>
      <c r="I472" s="98"/>
      <c r="J472" s="98"/>
    </row>
    <row r="473" spans="2:10" ht="12.75" x14ac:dyDescent="0.2">
      <c r="B473" s="200"/>
      <c r="D473" s="98"/>
      <c r="E473" s="98"/>
      <c r="F473" s="98"/>
      <c r="G473" s="98"/>
      <c r="H473" s="98"/>
      <c r="I473" s="98"/>
      <c r="J473" s="98"/>
    </row>
    <row r="474" spans="2:10" ht="12.75" x14ac:dyDescent="0.2">
      <c r="B474" s="200"/>
      <c r="D474" s="98"/>
      <c r="E474" s="98"/>
      <c r="F474" s="98"/>
      <c r="G474" s="98"/>
      <c r="H474" s="98"/>
      <c r="I474" s="98"/>
      <c r="J474" s="98"/>
    </row>
    <row r="475" spans="2:10" ht="12.75" x14ac:dyDescent="0.2">
      <c r="B475" s="200"/>
      <c r="D475" s="98"/>
      <c r="E475" s="98"/>
      <c r="F475" s="98"/>
      <c r="G475" s="98"/>
      <c r="H475" s="98"/>
      <c r="I475" s="98"/>
      <c r="J475" s="98"/>
    </row>
    <row r="476" spans="2:10" ht="12.75" x14ac:dyDescent="0.2">
      <c r="B476" s="200"/>
      <c r="D476" s="98"/>
      <c r="E476" s="98"/>
      <c r="F476" s="98"/>
      <c r="G476" s="98"/>
      <c r="H476" s="98"/>
      <c r="I476" s="98"/>
      <c r="J476" s="98"/>
    </row>
    <row r="477" spans="2:10" ht="12.75" x14ac:dyDescent="0.2">
      <c r="B477" s="200"/>
      <c r="D477" s="98"/>
      <c r="E477" s="98"/>
      <c r="F477" s="98"/>
      <c r="G477" s="98"/>
      <c r="H477" s="98"/>
      <c r="I477" s="98"/>
      <c r="J477" s="98"/>
    </row>
    <row r="478" spans="2:10" ht="12.75" x14ac:dyDescent="0.2">
      <c r="B478" s="200"/>
      <c r="D478" s="98"/>
      <c r="E478" s="98"/>
      <c r="F478" s="98"/>
      <c r="G478" s="98"/>
      <c r="H478" s="98"/>
      <c r="I478" s="98"/>
      <c r="J478" s="98"/>
    </row>
    <row r="479" spans="2:10" ht="12.75" x14ac:dyDescent="0.2">
      <c r="B479" s="200"/>
      <c r="D479" s="98"/>
      <c r="E479" s="98"/>
      <c r="F479" s="98"/>
      <c r="G479" s="98"/>
      <c r="H479" s="98"/>
      <c r="I479" s="98"/>
      <c r="J479" s="98"/>
    </row>
    <row r="480" spans="2:10" ht="12.75" x14ac:dyDescent="0.2">
      <c r="B480" s="200"/>
      <c r="D480" s="98"/>
      <c r="E480" s="98"/>
      <c r="F480" s="98"/>
      <c r="G480" s="98"/>
      <c r="H480" s="98"/>
      <c r="I480" s="98"/>
      <c r="J480" s="98"/>
    </row>
    <row r="481" spans="2:10" ht="12.75" x14ac:dyDescent="0.2">
      <c r="B481" s="200"/>
      <c r="D481" s="98"/>
      <c r="E481" s="98"/>
      <c r="F481" s="98"/>
      <c r="G481" s="98"/>
      <c r="H481" s="98"/>
      <c r="I481" s="98"/>
      <c r="J481" s="98"/>
    </row>
    <row r="482" spans="2:10" ht="12.75" x14ac:dyDescent="0.2">
      <c r="B482" s="200"/>
      <c r="D482" s="98"/>
      <c r="E482" s="98"/>
      <c r="F482" s="98"/>
      <c r="G482" s="98"/>
      <c r="H482" s="98"/>
      <c r="I482" s="98"/>
      <c r="J482" s="98"/>
    </row>
    <row r="483" spans="2:10" ht="12.75" x14ac:dyDescent="0.2">
      <c r="B483" s="200"/>
      <c r="D483" s="98"/>
      <c r="E483" s="98"/>
      <c r="F483" s="98"/>
      <c r="G483" s="98"/>
      <c r="H483" s="98"/>
      <c r="I483" s="98"/>
      <c r="J483" s="98"/>
    </row>
    <row r="484" spans="2:10" ht="12.75" x14ac:dyDescent="0.2">
      <c r="B484" s="200"/>
      <c r="D484" s="98"/>
      <c r="E484" s="98"/>
      <c r="F484" s="98"/>
      <c r="G484" s="98"/>
      <c r="H484" s="98"/>
      <c r="I484" s="98"/>
      <c r="J484" s="98"/>
    </row>
    <row r="485" spans="2:10" ht="12.75" x14ac:dyDescent="0.2">
      <c r="B485" s="200"/>
      <c r="D485" s="98"/>
      <c r="E485" s="98"/>
      <c r="F485" s="98"/>
      <c r="G485" s="98"/>
      <c r="H485" s="98"/>
      <c r="I485" s="98"/>
      <c r="J485" s="98"/>
    </row>
    <row r="486" spans="2:10" ht="12.75" x14ac:dyDescent="0.2">
      <c r="B486" s="200"/>
      <c r="D486" s="98"/>
      <c r="E486" s="98"/>
      <c r="F486" s="98"/>
      <c r="G486" s="98"/>
      <c r="H486" s="98"/>
      <c r="I486" s="98"/>
      <c r="J486" s="98"/>
    </row>
    <row r="487" spans="2:10" ht="12.75" x14ac:dyDescent="0.2">
      <c r="B487" s="200"/>
      <c r="D487" s="98"/>
      <c r="E487" s="98"/>
      <c r="F487" s="98"/>
      <c r="G487" s="98"/>
      <c r="H487" s="98"/>
      <c r="I487" s="98"/>
      <c r="J487" s="98"/>
    </row>
    <row r="488" spans="2:10" ht="12.75" x14ac:dyDescent="0.2">
      <c r="B488" s="200"/>
      <c r="D488" s="98"/>
      <c r="E488" s="98"/>
      <c r="F488" s="98"/>
      <c r="G488" s="98"/>
      <c r="H488" s="98"/>
      <c r="I488" s="98"/>
      <c r="J488" s="98"/>
    </row>
    <row r="489" spans="2:10" ht="12.75" x14ac:dyDescent="0.2">
      <c r="B489" s="200"/>
      <c r="D489" s="98"/>
      <c r="E489" s="98"/>
      <c r="F489" s="98"/>
      <c r="G489" s="98"/>
      <c r="H489" s="98"/>
      <c r="I489" s="98"/>
      <c r="J489" s="98"/>
    </row>
    <row r="490" spans="2:10" ht="12.75" x14ac:dyDescent="0.2">
      <c r="B490" s="200"/>
      <c r="D490" s="98"/>
      <c r="E490" s="98"/>
      <c r="F490" s="98"/>
      <c r="G490" s="98"/>
      <c r="H490" s="98"/>
      <c r="I490" s="98"/>
      <c r="J490" s="98"/>
    </row>
    <row r="491" spans="2:10" ht="12.75" x14ac:dyDescent="0.2">
      <c r="B491" s="200"/>
      <c r="D491" s="98"/>
      <c r="E491" s="98"/>
      <c r="F491" s="98"/>
      <c r="G491" s="98"/>
      <c r="H491" s="98"/>
      <c r="I491" s="98"/>
      <c r="J491" s="98"/>
    </row>
    <row r="492" spans="2:10" ht="12.75" x14ac:dyDescent="0.2">
      <c r="B492" s="200"/>
      <c r="D492" s="98"/>
      <c r="E492" s="98"/>
      <c r="F492" s="98"/>
      <c r="G492" s="98"/>
      <c r="H492" s="98"/>
      <c r="I492" s="98"/>
      <c r="J492" s="98"/>
    </row>
    <row r="493" spans="2:10" ht="12.75" x14ac:dyDescent="0.2">
      <c r="B493" s="200"/>
      <c r="D493" s="98"/>
      <c r="E493" s="98"/>
      <c r="F493" s="98"/>
      <c r="G493" s="98"/>
      <c r="H493" s="98"/>
      <c r="I493" s="98"/>
      <c r="J493" s="98"/>
    </row>
    <row r="494" spans="2:10" ht="12.75" x14ac:dyDescent="0.2">
      <c r="B494" s="200"/>
      <c r="D494" s="98"/>
      <c r="E494" s="98"/>
      <c r="F494" s="98"/>
      <c r="G494" s="98"/>
      <c r="H494" s="98"/>
      <c r="I494" s="98"/>
      <c r="J494" s="98"/>
    </row>
    <row r="495" spans="2:10" ht="12.75" x14ac:dyDescent="0.2">
      <c r="B495" s="200"/>
      <c r="D495" s="98"/>
      <c r="E495" s="98"/>
      <c r="F495" s="98"/>
      <c r="G495" s="98"/>
      <c r="H495" s="98"/>
      <c r="I495" s="98"/>
      <c r="J495" s="98"/>
    </row>
    <row r="496" spans="2:10" ht="12.75" x14ac:dyDescent="0.2">
      <c r="B496" s="200"/>
      <c r="D496" s="98"/>
      <c r="E496" s="98"/>
      <c r="F496" s="98"/>
      <c r="G496" s="98"/>
      <c r="H496" s="98"/>
      <c r="I496" s="98"/>
      <c r="J496" s="98"/>
    </row>
    <row r="497" spans="2:10" ht="12.75" x14ac:dyDescent="0.2">
      <c r="B497" s="200"/>
      <c r="D497" s="98"/>
      <c r="E497" s="98"/>
      <c r="F497" s="98"/>
      <c r="G497" s="98"/>
      <c r="H497" s="98"/>
      <c r="I497" s="98"/>
      <c r="J497" s="98"/>
    </row>
    <row r="498" spans="2:10" ht="12.75" x14ac:dyDescent="0.2">
      <c r="B498" s="200"/>
      <c r="D498" s="98"/>
      <c r="E498" s="98"/>
      <c r="F498" s="98"/>
      <c r="G498" s="98"/>
      <c r="H498" s="98"/>
      <c r="I498" s="98"/>
      <c r="J498" s="98"/>
    </row>
    <row r="499" spans="2:10" ht="12.75" x14ac:dyDescent="0.2">
      <c r="B499" s="200"/>
      <c r="D499" s="98"/>
      <c r="E499" s="98"/>
      <c r="F499" s="98"/>
      <c r="G499" s="98"/>
      <c r="H499" s="98"/>
      <c r="I499" s="98"/>
      <c r="J499" s="98"/>
    </row>
    <row r="500" spans="2:10" ht="12.75" x14ac:dyDescent="0.2">
      <c r="B500" s="200"/>
      <c r="D500" s="98"/>
      <c r="E500" s="98"/>
      <c r="F500" s="98"/>
      <c r="G500" s="98"/>
      <c r="H500" s="98"/>
      <c r="I500" s="98"/>
      <c r="J500" s="98"/>
    </row>
    <row r="501" spans="2:10" ht="12.75" x14ac:dyDescent="0.2">
      <c r="B501" s="200"/>
      <c r="D501" s="98"/>
      <c r="E501" s="98"/>
      <c r="F501" s="98"/>
      <c r="G501" s="98"/>
      <c r="H501" s="98"/>
      <c r="I501" s="98"/>
      <c r="J501" s="98"/>
    </row>
    <row r="502" spans="2:10" ht="12.75" x14ac:dyDescent="0.2">
      <c r="B502" s="200"/>
      <c r="D502" s="98"/>
      <c r="E502" s="98"/>
      <c r="F502" s="98"/>
      <c r="G502" s="98"/>
      <c r="H502" s="98"/>
      <c r="I502" s="98"/>
      <c r="J502" s="98"/>
    </row>
    <row r="503" spans="2:10" ht="12.75" x14ac:dyDescent="0.2">
      <c r="B503" s="200"/>
      <c r="D503" s="98"/>
      <c r="E503" s="98"/>
      <c r="F503" s="98"/>
      <c r="G503" s="98"/>
      <c r="H503" s="98"/>
      <c r="I503" s="98"/>
      <c r="J503" s="98"/>
    </row>
    <row r="504" spans="2:10" ht="12.75" x14ac:dyDescent="0.2">
      <c r="B504" s="200"/>
      <c r="D504" s="98"/>
      <c r="E504" s="98"/>
      <c r="F504" s="98"/>
      <c r="G504" s="98"/>
      <c r="H504" s="98"/>
      <c r="I504" s="98"/>
      <c r="J504" s="98"/>
    </row>
    <row r="505" spans="2:10" ht="12.75" x14ac:dyDescent="0.2">
      <c r="B505" s="200"/>
      <c r="D505" s="98"/>
      <c r="E505" s="98"/>
      <c r="F505" s="98"/>
      <c r="G505" s="98"/>
      <c r="H505" s="98"/>
      <c r="I505" s="98"/>
      <c r="J505" s="98"/>
    </row>
    <row r="506" spans="2:10" ht="12.75" x14ac:dyDescent="0.2">
      <c r="B506" s="200"/>
      <c r="D506" s="98"/>
      <c r="E506" s="98"/>
      <c r="F506" s="98"/>
      <c r="G506" s="98"/>
      <c r="H506" s="98"/>
      <c r="I506" s="98"/>
      <c r="J506" s="98"/>
    </row>
    <row r="507" spans="2:10" ht="12.75" x14ac:dyDescent="0.2">
      <c r="B507" s="200"/>
      <c r="D507" s="98"/>
      <c r="E507" s="98"/>
      <c r="F507" s="98"/>
      <c r="G507" s="98"/>
      <c r="H507" s="98"/>
      <c r="I507" s="98"/>
      <c r="J507" s="98"/>
    </row>
    <row r="508" spans="2:10" ht="12.75" x14ac:dyDescent="0.2">
      <c r="B508" s="200"/>
      <c r="D508" s="98"/>
      <c r="E508" s="98"/>
      <c r="F508" s="98"/>
      <c r="G508" s="98"/>
      <c r="H508" s="98"/>
      <c r="I508" s="98"/>
      <c r="J508" s="98"/>
    </row>
    <row r="509" spans="2:10" ht="12.75" x14ac:dyDescent="0.2">
      <c r="B509" s="200"/>
      <c r="D509" s="98"/>
      <c r="E509" s="98"/>
      <c r="F509" s="98"/>
      <c r="G509" s="98"/>
      <c r="H509" s="98"/>
      <c r="I509" s="98"/>
      <c r="J509" s="98"/>
    </row>
    <row r="510" spans="2:10" ht="12.75" x14ac:dyDescent="0.2">
      <c r="B510" s="200"/>
      <c r="D510" s="98"/>
      <c r="E510" s="98"/>
      <c r="F510" s="98"/>
      <c r="G510" s="98"/>
      <c r="H510" s="98"/>
      <c r="I510" s="98"/>
      <c r="J510" s="98"/>
    </row>
    <row r="511" spans="2:10" ht="12.75" x14ac:dyDescent="0.2">
      <c r="B511" s="200"/>
      <c r="D511" s="98"/>
      <c r="E511" s="98"/>
      <c r="F511" s="98"/>
      <c r="G511" s="98"/>
      <c r="H511" s="98"/>
      <c r="I511" s="98"/>
      <c r="J511" s="98"/>
    </row>
    <row r="512" spans="2:10" ht="12.75" x14ac:dyDescent="0.2">
      <c r="B512" s="200"/>
      <c r="D512" s="98"/>
      <c r="E512" s="98"/>
      <c r="F512" s="98"/>
      <c r="G512" s="98"/>
      <c r="H512" s="98"/>
      <c r="I512" s="98"/>
      <c r="J512" s="98"/>
    </row>
    <row r="513" spans="2:10" ht="12.75" x14ac:dyDescent="0.2">
      <c r="B513" s="200"/>
      <c r="D513" s="98"/>
      <c r="E513" s="98"/>
      <c r="F513" s="98"/>
      <c r="G513" s="98"/>
      <c r="H513" s="98"/>
      <c r="I513" s="98"/>
      <c r="J513" s="98"/>
    </row>
    <row r="514" spans="2:10" ht="12.75" x14ac:dyDescent="0.2">
      <c r="B514" s="200"/>
      <c r="D514" s="98"/>
      <c r="E514" s="98"/>
      <c r="F514" s="98"/>
      <c r="G514" s="98"/>
      <c r="H514" s="98"/>
      <c r="I514" s="98"/>
      <c r="J514" s="98"/>
    </row>
    <row r="515" spans="2:10" ht="12.75" x14ac:dyDescent="0.2">
      <c r="B515" s="200"/>
      <c r="D515" s="98"/>
      <c r="E515" s="98"/>
      <c r="F515" s="98"/>
      <c r="G515" s="98"/>
      <c r="H515" s="98"/>
      <c r="I515" s="98"/>
      <c r="J515" s="98"/>
    </row>
    <row r="516" spans="2:10" ht="12.75" x14ac:dyDescent="0.2">
      <c r="B516" s="200"/>
      <c r="D516" s="98"/>
      <c r="E516" s="98"/>
      <c r="F516" s="98"/>
      <c r="G516" s="98"/>
      <c r="H516" s="98"/>
      <c r="I516" s="98"/>
      <c r="J516" s="98"/>
    </row>
    <row r="517" spans="2:10" ht="12.75" x14ac:dyDescent="0.2">
      <c r="B517" s="200"/>
      <c r="D517" s="98"/>
      <c r="E517" s="98"/>
      <c r="F517" s="98"/>
      <c r="G517" s="98"/>
      <c r="H517" s="98"/>
      <c r="I517" s="98"/>
      <c r="J517" s="98"/>
    </row>
    <row r="518" spans="2:10" ht="12.75" x14ac:dyDescent="0.2">
      <c r="B518" s="200"/>
      <c r="D518" s="98"/>
      <c r="E518" s="98"/>
      <c r="F518" s="98"/>
      <c r="G518" s="98"/>
      <c r="H518" s="98"/>
      <c r="I518" s="98"/>
      <c r="J518" s="98"/>
    </row>
    <row r="519" spans="2:10" ht="12.75" x14ac:dyDescent="0.2">
      <c r="B519" s="200"/>
      <c r="D519" s="98"/>
      <c r="E519" s="98"/>
      <c r="F519" s="98"/>
      <c r="G519" s="98"/>
      <c r="H519" s="98"/>
      <c r="I519" s="98"/>
      <c r="J519" s="98"/>
    </row>
    <row r="520" spans="2:10" ht="12.75" x14ac:dyDescent="0.2">
      <c r="B520" s="200"/>
      <c r="D520" s="98"/>
      <c r="E520" s="98"/>
      <c r="F520" s="98"/>
      <c r="G520" s="98"/>
      <c r="H520" s="98"/>
      <c r="I520" s="98"/>
      <c r="J520" s="98"/>
    </row>
    <row r="521" spans="2:10" ht="12.75" x14ac:dyDescent="0.2">
      <c r="B521" s="200"/>
      <c r="D521" s="98"/>
      <c r="E521" s="98"/>
      <c r="F521" s="98"/>
      <c r="G521" s="98"/>
      <c r="H521" s="98"/>
      <c r="I521" s="98"/>
      <c r="J521" s="98"/>
    </row>
    <row r="522" spans="2:10" ht="12.75" x14ac:dyDescent="0.2">
      <c r="B522" s="200"/>
      <c r="D522" s="98"/>
      <c r="E522" s="98"/>
      <c r="F522" s="98"/>
      <c r="G522" s="98"/>
      <c r="H522" s="98"/>
      <c r="I522" s="98"/>
      <c r="J522" s="98"/>
    </row>
    <row r="523" spans="2:10" ht="12.75" x14ac:dyDescent="0.2">
      <c r="B523" s="200"/>
      <c r="D523" s="98"/>
      <c r="E523" s="98"/>
      <c r="F523" s="98"/>
      <c r="G523" s="98"/>
      <c r="H523" s="98"/>
      <c r="I523" s="98"/>
      <c r="J523" s="98"/>
    </row>
    <row r="524" spans="2:10" ht="12.75" x14ac:dyDescent="0.2">
      <c r="B524" s="200"/>
      <c r="D524" s="98"/>
      <c r="E524" s="98"/>
      <c r="F524" s="98"/>
      <c r="G524" s="98"/>
      <c r="H524" s="98"/>
      <c r="I524" s="98"/>
      <c r="J524" s="98"/>
    </row>
    <row r="525" spans="2:10" ht="12.75" x14ac:dyDescent="0.2">
      <c r="B525" s="200"/>
      <c r="D525" s="98"/>
      <c r="E525" s="98"/>
      <c r="F525" s="98"/>
      <c r="G525" s="98"/>
      <c r="H525" s="98"/>
      <c r="I525" s="98"/>
      <c r="J525" s="98"/>
    </row>
    <row r="526" spans="2:10" ht="12.75" x14ac:dyDescent="0.2">
      <c r="B526" s="200"/>
      <c r="D526" s="98"/>
      <c r="E526" s="98"/>
      <c r="F526" s="98"/>
      <c r="G526" s="98"/>
      <c r="H526" s="98"/>
      <c r="I526" s="98"/>
      <c r="J526" s="98"/>
    </row>
    <row r="527" spans="2:10" ht="12.75" x14ac:dyDescent="0.2">
      <c r="B527" s="200"/>
      <c r="D527" s="98"/>
      <c r="E527" s="98"/>
      <c r="F527" s="98"/>
      <c r="G527" s="98"/>
      <c r="H527" s="98"/>
      <c r="I527" s="98"/>
      <c r="J527" s="98"/>
    </row>
    <row r="528" spans="2:10" ht="12.75" x14ac:dyDescent="0.2">
      <c r="B528" s="200"/>
      <c r="D528" s="98"/>
      <c r="E528" s="98"/>
      <c r="F528" s="98"/>
      <c r="G528" s="98"/>
      <c r="H528" s="98"/>
      <c r="I528" s="98"/>
      <c r="J528" s="98"/>
    </row>
    <row r="529" spans="2:10" ht="12.75" x14ac:dyDescent="0.2">
      <c r="B529" s="200"/>
      <c r="D529" s="98"/>
      <c r="E529" s="98"/>
      <c r="F529" s="98"/>
      <c r="G529" s="98"/>
      <c r="H529" s="98"/>
      <c r="I529" s="98"/>
      <c r="J529" s="98"/>
    </row>
    <row r="530" spans="2:10" ht="12.75" x14ac:dyDescent="0.2">
      <c r="B530" s="200"/>
      <c r="D530" s="98"/>
      <c r="E530" s="98"/>
      <c r="F530" s="98"/>
      <c r="G530" s="98"/>
      <c r="H530" s="98"/>
      <c r="I530" s="98"/>
      <c r="J530" s="98"/>
    </row>
    <row r="531" spans="2:10" ht="12.75" x14ac:dyDescent="0.2">
      <c r="B531" s="200"/>
      <c r="D531" s="98"/>
      <c r="E531" s="98"/>
      <c r="F531" s="98"/>
      <c r="G531" s="98"/>
      <c r="H531" s="98"/>
      <c r="I531" s="98"/>
      <c r="J531" s="98"/>
    </row>
    <row r="532" spans="2:10" ht="12.75" x14ac:dyDescent="0.2">
      <c r="B532" s="200"/>
      <c r="D532" s="98"/>
      <c r="E532" s="98"/>
      <c r="F532" s="98"/>
      <c r="G532" s="98"/>
      <c r="H532" s="98"/>
      <c r="I532" s="98"/>
      <c r="J532" s="98"/>
    </row>
    <row r="533" spans="2:10" ht="12.75" x14ac:dyDescent="0.2">
      <c r="B533" s="200"/>
      <c r="D533" s="98"/>
      <c r="E533" s="98"/>
      <c r="F533" s="98"/>
      <c r="G533" s="98"/>
      <c r="H533" s="98"/>
      <c r="I533" s="98"/>
      <c r="J533" s="98"/>
    </row>
    <row r="534" spans="2:10" ht="12.75" x14ac:dyDescent="0.2">
      <c r="B534" s="200"/>
      <c r="D534" s="98"/>
      <c r="E534" s="98"/>
      <c r="F534" s="98"/>
      <c r="G534" s="98"/>
      <c r="H534" s="98"/>
      <c r="I534" s="98"/>
      <c r="J534" s="98"/>
    </row>
    <row r="535" spans="2:10" ht="12.75" x14ac:dyDescent="0.2">
      <c r="B535" s="200"/>
      <c r="D535" s="98"/>
      <c r="E535" s="98"/>
      <c r="F535" s="98"/>
      <c r="G535" s="98"/>
      <c r="H535" s="98"/>
      <c r="I535" s="98"/>
      <c r="J535" s="98"/>
    </row>
    <row r="536" spans="2:10" ht="12.75" x14ac:dyDescent="0.2">
      <c r="B536" s="200"/>
      <c r="D536" s="98"/>
      <c r="E536" s="98"/>
      <c r="F536" s="98"/>
      <c r="G536" s="98"/>
      <c r="H536" s="98"/>
      <c r="I536" s="98"/>
      <c r="J536" s="98"/>
    </row>
    <row r="537" spans="2:10" ht="12.75" x14ac:dyDescent="0.2">
      <c r="B537" s="200"/>
      <c r="D537" s="98"/>
      <c r="E537" s="98"/>
      <c r="F537" s="98"/>
      <c r="G537" s="98"/>
      <c r="H537" s="98"/>
      <c r="I537" s="98"/>
      <c r="J537" s="98"/>
    </row>
    <row r="538" spans="2:10" ht="12.75" x14ac:dyDescent="0.2">
      <c r="B538" s="200"/>
      <c r="D538" s="98"/>
      <c r="E538" s="98"/>
      <c r="F538" s="98"/>
      <c r="G538" s="98"/>
      <c r="H538" s="98"/>
      <c r="I538" s="98"/>
      <c r="J538" s="98"/>
    </row>
    <row r="539" spans="2:10" ht="12.75" x14ac:dyDescent="0.2">
      <c r="B539" s="200"/>
      <c r="D539" s="98"/>
      <c r="E539" s="98"/>
      <c r="F539" s="98"/>
      <c r="G539" s="98"/>
      <c r="H539" s="98"/>
      <c r="I539" s="98"/>
      <c r="J539" s="98"/>
    </row>
    <row r="540" spans="2:10" ht="12.75" x14ac:dyDescent="0.2">
      <c r="B540" s="200"/>
      <c r="D540" s="98"/>
      <c r="E540" s="98"/>
      <c r="F540" s="98"/>
      <c r="G540" s="98"/>
      <c r="H540" s="98"/>
      <c r="I540" s="98"/>
      <c r="J540" s="98"/>
    </row>
    <row r="541" spans="2:10" ht="12.75" x14ac:dyDescent="0.2">
      <c r="B541" s="200"/>
      <c r="D541" s="98"/>
      <c r="E541" s="98"/>
      <c r="F541" s="98"/>
      <c r="G541" s="98"/>
      <c r="H541" s="98"/>
      <c r="I541" s="98"/>
      <c r="J541" s="98"/>
    </row>
    <row r="542" spans="2:10" ht="12.75" x14ac:dyDescent="0.2">
      <c r="B542" s="200"/>
      <c r="D542" s="98"/>
      <c r="E542" s="98"/>
      <c r="F542" s="98"/>
      <c r="G542" s="98"/>
      <c r="H542" s="98"/>
      <c r="I542" s="98"/>
      <c r="J542" s="98"/>
    </row>
    <row r="543" spans="2:10" ht="12.75" x14ac:dyDescent="0.2">
      <c r="B543" s="200"/>
      <c r="D543" s="98"/>
      <c r="E543" s="98"/>
      <c r="F543" s="98"/>
      <c r="G543" s="98"/>
      <c r="H543" s="98"/>
      <c r="I543" s="98"/>
      <c r="J543" s="98"/>
    </row>
    <row r="544" spans="2:10" ht="12.75" x14ac:dyDescent="0.2">
      <c r="B544" s="200"/>
      <c r="D544" s="98"/>
      <c r="E544" s="98"/>
      <c r="F544" s="98"/>
      <c r="G544" s="98"/>
      <c r="H544" s="98"/>
      <c r="I544" s="98"/>
      <c r="J544" s="98"/>
    </row>
    <row r="545" spans="2:10" ht="12.75" x14ac:dyDescent="0.2">
      <c r="B545" s="200"/>
      <c r="D545" s="98"/>
      <c r="E545" s="98"/>
      <c r="F545" s="98"/>
      <c r="G545" s="98"/>
      <c r="H545" s="98"/>
      <c r="I545" s="98"/>
      <c r="J545" s="98"/>
    </row>
    <row r="546" spans="2:10" ht="12.75" x14ac:dyDescent="0.2">
      <c r="B546" s="200"/>
      <c r="D546" s="98"/>
      <c r="E546" s="98"/>
      <c r="F546" s="98"/>
      <c r="G546" s="98"/>
      <c r="H546" s="98"/>
      <c r="I546" s="98"/>
      <c r="J546" s="98"/>
    </row>
    <row r="547" spans="2:10" ht="12.75" x14ac:dyDescent="0.2">
      <c r="B547" s="200"/>
      <c r="D547" s="98"/>
      <c r="E547" s="98"/>
      <c r="F547" s="98"/>
      <c r="G547" s="98"/>
      <c r="H547" s="98"/>
      <c r="I547" s="98"/>
      <c r="J547" s="98"/>
    </row>
    <row r="548" spans="2:10" ht="12.75" x14ac:dyDescent="0.2">
      <c r="B548" s="200"/>
      <c r="D548" s="98"/>
      <c r="E548" s="98"/>
      <c r="F548" s="98"/>
      <c r="G548" s="98"/>
      <c r="H548" s="98"/>
      <c r="I548" s="98"/>
      <c r="J548" s="98"/>
    </row>
    <row r="549" spans="2:10" ht="12.75" x14ac:dyDescent="0.2">
      <c r="B549" s="200"/>
      <c r="D549" s="98"/>
      <c r="E549" s="98"/>
      <c r="F549" s="98"/>
      <c r="G549" s="98"/>
      <c r="H549" s="98"/>
      <c r="I549" s="98"/>
      <c r="J549" s="98"/>
    </row>
    <row r="550" spans="2:10" ht="12.75" x14ac:dyDescent="0.2">
      <c r="B550" s="200"/>
      <c r="D550" s="98"/>
      <c r="E550" s="98"/>
      <c r="F550" s="98"/>
      <c r="G550" s="98"/>
      <c r="H550" s="98"/>
      <c r="I550" s="98"/>
      <c r="J550" s="98"/>
    </row>
    <row r="551" spans="2:10" ht="12.75" x14ac:dyDescent="0.2">
      <c r="B551" s="200"/>
      <c r="D551" s="98"/>
      <c r="E551" s="98"/>
      <c r="F551" s="98"/>
      <c r="G551" s="98"/>
      <c r="H551" s="98"/>
      <c r="I551" s="98"/>
      <c r="J551" s="98"/>
    </row>
    <row r="552" spans="2:10" ht="12.75" x14ac:dyDescent="0.2">
      <c r="B552" s="200"/>
      <c r="D552" s="98"/>
      <c r="E552" s="98"/>
      <c r="F552" s="98"/>
      <c r="G552" s="98"/>
      <c r="H552" s="98"/>
      <c r="I552" s="98"/>
      <c r="J552" s="98"/>
    </row>
    <row r="553" spans="2:10" ht="12.75" x14ac:dyDescent="0.2">
      <c r="B553" s="200"/>
      <c r="D553" s="98"/>
      <c r="E553" s="98"/>
      <c r="F553" s="98"/>
      <c r="G553" s="98"/>
      <c r="H553" s="98"/>
      <c r="I553" s="98"/>
      <c r="J553" s="98"/>
    </row>
    <row r="554" spans="2:10" ht="12.75" x14ac:dyDescent="0.2">
      <c r="B554" s="200"/>
      <c r="D554" s="98"/>
      <c r="E554" s="98"/>
      <c r="F554" s="98"/>
      <c r="G554" s="98"/>
      <c r="H554" s="98"/>
      <c r="I554" s="98"/>
      <c r="J554" s="98"/>
    </row>
    <row r="555" spans="2:10" ht="12.75" x14ac:dyDescent="0.2">
      <c r="B555" s="200"/>
      <c r="D555" s="98"/>
      <c r="E555" s="98"/>
      <c r="F555" s="98"/>
      <c r="G555" s="98"/>
      <c r="H555" s="98"/>
      <c r="I555" s="98"/>
      <c r="J555" s="98"/>
    </row>
    <row r="556" spans="2:10" ht="12.75" x14ac:dyDescent="0.2">
      <c r="B556" s="200"/>
      <c r="D556" s="98"/>
      <c r="E556" s="98"/>
      <c r="F556" s="98"/>
      <c r="G556" s="98"/>
      <c r="H556" s="98"/>
      <c r="I556" s="98"/>
      <c r="J556" s="98"/>
    </row>
    <row r="557" spans="2:10" ht="12.75" x14ac:dyDescent="0.2">
      <c r="B557" s="200"/>
      <c r="D557" s="98"/>
      <c r="E557" s="98"/>
      <c r="F557" s="98"/>
      <c r="G557" s="98"/>
      <c r="H557" s="98"/>
      <c r="I557" s="98"/>
      <c r="J557" s="98"/>
    </row>
    <row r="558" spans="2:10" ht="12.75" x14ac:dyDescent="0.2">
      <c r="B558" s="200"/>
      <c r="D558" s="98"/>
      <c r="E558" s="98"/>
      <c r="F558" s="98"/>
      <c r="G558" s="98"/>
      <c r="H558" s="98"/>
      <c r="I558" s="98"/>
      <c r="J558" s="98"/>
    </row>
    <row r="559" spans="2:10" ht="12.75" x14ac:dyDescent="0.2">
      <c r="B559" s="200"/>
      <c r="D559" s="98"/>
      <c r="E559" s="98"/>
      <c r="F559" s="98"/>
      <c r="G559" s="98"/>
      <c r="H559" s="98"/>
      <c r="I559" s="98"/>
      <c r="J559" s="98"/>
    </row>
    <row r="560" spans="2:10" ht="12.75" x14ac:dyDescent="0.2">
      <c r="B560" s="200"/>
      <c r="D560" s="98"/>
      <c r="E560" s="98"/>
      <c r="F560" s="98"/>
      <c r="G560" s="98"/>
      <c r="H560" s="98"/>
      <c r="I560" s="98"/>
      <c r="J560" s="98"/>
    </row>
    <row r="561" spans="2:10" ht="12.75" x14ac:dyDescent="0.2">
      <c r="B561" s="200"/>
      <c r="D561" s="98"/>
      <c r="E561" s="98"/>
      <c r="F561" s="98"/>
      <c r="G561" s="98"/>
      <c r="H561" s="98"/>
      <c r="I561" s="98"/>
      <c r="J561" s="98"/>
    </row>
    <row r="562" spans="2:10" ht="12.75" x14ac:dyDescent="0.2">
      <c r="B562" s="200"/>
      <c r="D562" s="98"/>
      <c r="E562" s="98"/>
      <c r="F562" s="98"/>
      <c r="G562" s="98"/>
      <c r="H562" s="98"/>
      <c r="I562" s="98"/>
      <c r="J562" s="98"/>
    </row>
    <row r="563" spans="2:10" ht="12.75" x14ac:dyDescent="0.2">
      <c r="B563" s="200"/>
      <c r="D563" s="98"/>
      <c r="E563" s="98"/>
      <c r="F563" s="98"/>
      <c r="G563" s="98"/>
      <c r="H563" s="98"/>
      <c r="I563" s="98"/>
      <c r="J563" s="98"/>
    </row>
    <row r="564" spans="2:10" ht="12.75" x14ac:dyDescent="0.2">
      <c r="B564" s="200"/>
      <c r="D564" s="98"/>
      <c r="E564" s="98"/>
      <c r="F564" s="98"/>
      <c r="G564" s="98"/>
      <c r="H564" s="98"/>
      <c r="I564" s="98"/>
      <c r="J564" s="98"/>
    </row>
    <row r="565" spans="2:10" ht="12.75" x14ac:dyDescent="0.2">
      <c r="B565" s="200"/>
      <c r="D565" s="98"/>
      <c r="E565" s="98"/>
      <c r="F565" s="98"/>
      <c r="G565" s="98"/>
      <c r="H565" s="98"/>
      <c r="I565" s="98"/>
      <c r="J565" s="98"/>
    </row>
    <row r="566" spans="2:10" ht="12.75" x14ac:dyDescent="0.2">
      <c r="B566" s="200"/>
      <c r="D566" s="98"/>
      <c r="E566" s="98"/>
      <c r="F566" s="98"/>
      <c r="G566" s="98"/>
      <c r="H566" s="98"/>
      <c r="I566" s="98"/>
      <c r="J566" s="98"/>
    </row>
    <row r="567" spans="2:10" ht="12.75" x14ac:dyDescent="0.2">
      <c r="B567" s="200"/>
      <c r="D567" s="98"/>
      <c r="E567" s="98"/>
      <c r="F567" s="98"/>
      <c r="G567" s="98"/>
      <c r="H567" s="98"/>
      <c r="I567" s="98"/>
      <c r="J567" s="98"/>
    </row>
    <row r="568" spans="2:10" ht="12.75" x14ac:dyDescent="0.2">
      <c r="B568" s="200"/>
      <c r="D568" s="98"/>
      <c r="E568" s="98"/>
      <c r="F568" s="98"/>
      <c r="G568" s="98"/>
      <c r="H568" s="98"/>
      <c r="I568" s="98"/>
      <c r="J568" s="98"/>
    </row>
    <row r="569" spans="2:10" ht="12.75" x14ac:dyDescent="0.2">
      <c r="B569" s="200"/>
      <c r="D569" s="98"/>
      <c r="E569" s="98"/>
      <c r="F569" s="98"/>
      <c r="G569" s="98"/>
      <c r="H569" s="98"/>
      <c r="I569" s="98"/>
      <c r="J569" s="98"/>
    </row>
    <row r="570" spans="2:10" ht="12.75" x14ac:dyDescent="0.2">
      <c r="B570" s="200"/>
      <c r="D570" s="98"/>
      <c r="E570" s="98"/>
      <c r="F570" s="98"/>
      <c r="G570" s="98"/>
      <c r="H570" s="98"/>
      <c r="I570" s="98"/>
      <c r="J570" s="98"/>
    </row>
    <row r="571" spans="2:10" ht="12.75" x14ac:dyDescent="0.2">
      <c r="B571" s="200"/>
      <c r="D571" s="98"/>
      <c r="E571" s="98"/>
      <c r="F571" s="98"/>
      <c r="G571" s="98"/>
      <c r="H571" s="98"/>
      <c r="I571" s="98"/>
      <c r="J571" s="98"/>
    </row>
    <row r="572" spans="2:10" ht="12.75" x14ac:dyDescent="0.2">
      <c r="B572" s="200"/>
      <c r="D572" s="98"/>
      <c r="E572" s="98"/>
      <c r="F572" s="98"/>
      <c r="G572" s="98"/>
      <c r="H572" s="98"/>
      <c r="I572" s="98"/>
      <c r="J572" s="98"/>
    </row>
    <row r="573" spans="2:10" ht="12.75" x14ac:dyDescent="0.2">
      <c r="B573" s="200"/>
      <c r="D573" s="98"/>
      <c r="E573" s="98"/>
      <c r="F573" s="98"/>
      <c r="G573" s="98"/>
      <c r="H573" s="98"/>
      <c r="I573" s="98"/>
      <c r="J573" s="98"/>
    </row>
    <row r="574" spans="2:10" ht="12.75" x14ac:dyDescent="0.2">
      <c r="B574" s="200"/>
      <c r="D574" s="98"/>
      <c r="E574" s="98"/>
      <c r="F574" s="98"/>
      <c r="G574" s="98"/>
      <c r="H574" s="98"/>
      <c r="I574" s="98"/>
      <c r="J574" s="98"/>
    </row>
    <row r="575" spans="2:10" ht="12.75" x14ac:dyDescent="0.2">
      <c r="B575" s="200"/>
      <c r="D575" s="98"/>
      <c r="E575" s="98"/>
      <c r="F575" s="98"/>
      <c r="G575" s="98"/>
      <c r="H575" s="98"/>
      <c r="I575" s="98"/>
      <c r="J575" s="98"/>
    </row>
    <row r="576" spans="2:10" ht="12.75" x14ac:dyDescent="0.2">
      <c r="B576" s="200"/>
      <c r="D576" s="98"/>
      <c r="E576" s="98"/>
      <c r="F576" s="98"/>
      <c r="G576" s="98"/>
      <c r="H576" s="98"/>
      <c r="I576" s="98"/>
      <c r="J576" s="98"/>
    </row>
    <row r="577" spans="2:10" ht="12.75" x14ac:dyDescent="0.2">
      <c r="B577" s="200"/>
      <c r="D577" s="98"/>
      <c r="E577" s="98"/>
      <c r="F577" s="98"/>
      <c r="G577" s="98"/>
      <c r="H577" s="98"/>
      <c r="I577" s="98"/>
      <c r="J577" s="98"/>
    </row>
    <row r="578" spans="2:10" ht="12.75" x14ac:dyDescent="0.2">
      <c r="B578" s="200"/>
      <c r="D578" s="98"/>
      <c r="E578" s="98"/>
      <c r="F578" s="98"/>
      <c r="G578" s="98"/>
      <c r="H578" s="98"/>
      <c r="I578" s="98"/>
      <c r="J578" s="98"/>
    </row>
    <row r="579" spans="2:10" ht="12.75" x14ac:dyDescent="0.2">
      <c r="B579" s="200"/>
      <c r="D579" s="98"/>
      <c r="E579" s="98"/>
      <c r="F579" s="98"/>
      <c r="G579" s="98"/>
      <c r="H579" s="98"/>
      <c r="I579" s="98"/>
      <c r="J579" s="98"/>
    </row>
    <row r="580" spans="2:10" ht="12.75" x14ac:dyDescent="0.2">
      <c r="B580" s="200"/>
      <c r="D580" s="98"/>
      <c r="E580" s="98"/>
      <c r="F580" s="98"/>
      <c r="G580" s="98"/>
      <c r="H580" s="98"/>
      <c r="I580" s="98"/>
      <c r="J580" s="98"/>
    </row>
    <row r="581" spans="2:10" ht="12.75" x14ac:dyDescent="0.2">
      <c r="B581" s="200"/>
      <c r="D581" s="98"/>
      <c r="E581" s="98"/>
      <c r="F581" s="98"/>
      <c r="G581" s="98"/>
      <c r="H581" s="98"/>
      <c r="I581" s="98"/>
      <c r="J581" s="98"/>
    </row>
    <row r="582" spans="2:10" ht="12.75" x14ac:dyDescent="0.2">
      <c r="B582" s="200"/>
      <c r="D582" s="98"/>
      <c r="E582" s="98"/>
      <c r="F582" s="98"/>
      <c r="G582" s="98"/>
      <c r="H582" s="98"/>
      <c r="I582" s="98"/>
      <c r="J582" s="98"/>
    </row>
    <row r="583" spans="2:10" ht="12.75" x14ac:dyDescent="0.2">
      <c r="B583" s="200"/>
      <c r="D583" s="98"/>
      <c r="E583" s="98"/>
      <c r="F583" s="98"/>
      <c r="G583" s="98"/>
      <c r="H583" s="98"/>
      <c r="I583" s="98"/>
      <c r="J583" s="98"/>
    </row>
    <row r="584" spans="2:10" ht="12.75" x14ac:dyDescent="0.2">
      <c r="B584" s="200"/>
      <c r="D584" s="98"/>
      <c r="E584" s="98"/>
      <c r="F584" s="98"/>
      <c r="G584" s="98"/>
      <c r="H584" s="98"/>
      <c r="I584" s="98"/>
      <c r="J584" s="98"/>
    </row>
    <row r="585" spans="2:10" ht="12.75" x14ac:dyDescent="0.2">
      <c r="B585" s="200"/>
      <c r="D585" s="98"/>
      <c r="E585" s="98"/>
      <c r="F585" s="98"/>
      <c r="G585" s="98"/>
      <c r="H585" s="98"/>
      <c r="I585" s="98"/>
      <c r="J585" s="98"/>
    </row>
    <row r="586" spans="2:10" ht="12.75" x14ac:dyDescent="0.2">
      <c r="B586" s="200"/>
      <c r="D586" s="98"/>
      <c r="E586" s="98"/>
      <c r="F586" s="98"/>
      <c r="G586" s="98"/>
      <c r="H586" s="98"/>
      <c r="I586" s="98"/>
      <c r="J586" s="98"/>
    </row>
    <row r="587" spans="2:10" ht="12.75" x14ac:dyDescent="0.2">
      <c r="B587" s="200"/>
      <c r="D587" s="98"/>
      <c r="E587" s="98"/>
      <c r="F587" s="98"/>
      <c r="G587" s="98"/>
      <c r="H587" s="98"/>
      <c r="I587" s="98"/>
      <c r="J587" s="98"/>
    </row>
    <row r="588" spans="2:10" ht="12.75" x14ac:dyDescent="0.2">
      <c r="B588" s="200"/>
      <c r="D588" s="98"/>
      <c r="E588" s="98"/>
      <c r="F588" s="98"/>
      <c r="G588" s="98"/>
      <c r="H588" s="98"/>
      <c r="I588" s="98"/>
      <c r="J588" s="98"/>
    </row>
    <row r="589" spans="2:10" ht="12.75" x14ac:dyDescent="0.2">
      <c r="B589" s="200"/>
      <c r="D589" s="98"/>
      <c r="E589" s="98"/>
      <c r="F589" s="98"/>
      <c r="G589" s="98"/>
      <c r="H589" s="98"/>
      <c r="I589" s="98"/>
      <c r="J589" s="98"/>
    </row>
    <row r="590" spans="2:10" ht="12.75" x14ac:dyDescent="0.2">
      <c r="B590" s="200"/>
      <c r="D590" s="98"/>
      <c r="E590" s="98"/>
      <c r="F590" s="98"/>
      <c r="G590" s="98"/>
      <c r="H590" s="98"/>
      <c r="I590" s="98"/>
      <c r="J590" s="98"/>
    </row>
    <row r="591" spans="2:10" ht="12.75" x14ac:dyDescent="0.2">
      <c r="B591" s="200"/>
      <c r="D591" s="98"/>
      <c r="E591" s="98"/>
      <c r="F591" s="98"/>
      <c r="G591" s="98"/>
      <c r="H591" s="98"/>
      <c r="I591" s="98"/>
      <c r="J591" s="98"/>
    </row>
    <row r="592" spans="2:10" ht="12.75" x14ac:dyDescent="0.2">
      <c r="B592" s="200"/>
      <c r="D592" s="98"/>
      <c r="E592" s="98"/>
      <c r="F592" s="98"/>
      <c r="G592" s="98"/>
      <c r="H592" s="98"/>
      <c r="I592" s="98"/>
      <c r="J592" s="98"/>
    </row>
    <row r="593" spans="2:10" ht="12.75" x14ac:dyDescent="0.2">
      <c r="B593" s="200"/>
      <c r="D593" s="98"/>
      <c r="E593" s="98"/>
      <c r="F593" s="98"/>
      <c r="G593" s="98"/>
      <c r="H593" s="98"/>
      <c r="I593" s="98"/>
      <c r="J593" s="98"/>
    </row>
    <row r="594" spans="2:10" ht="12.75" x14ac:dyDescent="0.2">
      <c r="B594" s="200"/>
      <c r="D594" s="98"/>
      <c r="E594" s="98"/>
      <c r="F594" s="98"/>
      <c r="G594" s="98"/>
      <c r="H594" s="98"/>
      <c r="I594" s="98"/>
      <c r="J594" s="98"/>
    </row>
    <row r="595" spans="2:10" ht="12.75" x14ac:dyDescent="0.2">
      <c r="B595" s="200"/>
      <c r="D595" s="98"/>
      <c r="E595" s="98"/>
      <c r="F595" s="98"/>
      <c r="G595" s="98"/>
      <c r="H595" s="98"/>
      <c r="I595" s="98"/>
      <c r="J595" s="98"/>
    </row>
    <row r="596" spans="2:10" ht="12.75" x14ac:dyDescent="0.2">
      <c r="B596" s="200"/>
      <c r="D596" s="98"/>
      <c r="E596" s="98"/>
      <c r="F596" s="98"/>
      <c r="G596" s="98"/>
      <c r="H596" s="98"/>
      <c r="I596" s="98"/>
      <c r="J596" s="98"/>
    </row>
    <row r="597" spans="2:10" ht="12.75" x14ac:dyDescent="0.2">
      <c r="B597" s="200"/>
      <c r="D597" s="98"/>
      <c r="E597" s="98"/>
      <c r="F597" s="98"/>
      <c r="G597" s="98"/>
      <c r="H597" s="98"/>
      <c r="I597" s="98"/>
      <c r="J597" s="98"/>
    </row>
    <row r="598" spans="2:10" ht="12.75" x14ac:dyDescent="0.2">
      <c r="B598" s="200"/>
      <c r="D598" s="98"/>
      <c r="E598" s="98"/>
      <c r="F598" s="98"/>
      <c r="G598" s="98"/>
      <c r="H598" s="98"/>
      <c r="I598" s="98"/>
      <c r="J598" s="98"/>
    </row>
    <row r="599" spans="2:10" ht="12.75" x14ac:dyDescent="0.2">
      <c r="B599" s="200"/>
      <c r="D599" s="98"/>
      <c r="E599" s="98"/>
      <c r="F599" s="98"/>
      <c r="G599" s="98"/>
      <c r="H599" s="98"/>
      <c r="I599" s="98"/>
      <c r="J599" s="98"/>
    </row>
    <row r="600" spans="2:10" ht="12.75" x14ac:dyDescent="0.2">
      <c r="B600" s="200"/>
      <c r="D600" s="98"/>
      <c r="E600" s="98"/>
      <c r="F600" s="98"/>
      <c r="G600" s="98"/>
      <c r="H600" s="98"/>
      <c r="I600" s="98"/>
      <c r="J600" s="98"/>
    </row>
    <row r="601" spans="2:10" ht="12.75" x14ac:dyDescent="0.2">
      <c r="B601" s="200"/>
      <c r="D601" s="98"/>
      <c r="E601" s="98"/>
      <c r="F601" s="98"/>
      <c r="G601" s="98"/>
      <c r="H601" s="98"/>
      <c r="I601" s="98"/>
      <c r="J601" s="98"/>
    </row>
    <row r="602" spans="2:10" ht="12.75" x14ac:dyDescent="0.2">
      <c r="B602" s="200"/>
      <c r="D602" s="98"/>
      <c r="E602" s="98"/>
      <c r="F602" s="98"/>
      <c r="G602" s="98"/>
      <c r="H602" s="98"/>
      <c r="I602" s="98"/>
      <c r="J602" s="98"/>
    </row>
    <row r="603" spans="2:10" ht="12.75" x14ac:dyDescent="0.2">
      <c r="B603" s="200"/>
      <c r="D603" s="98"/>
      <c r="E603" s="98"/>
      <c r="F603" s="98"/>
      <c r="G603" s="98"/>
      <c r="H603" s="98"/>
      <c r="I603" s="98"/>
      <c r="J603" s="98"/>
    </row>
    <row r="604" spans="2:10" ht="12.75" x14ac:dyDescent="0.2">
      <c r="B604" s="200"/>
      <c r="D604" s="98"/>
      <c r="E604" s="98"/>
      <c r="F604" s="98"/>
      <c r="G604" s="98"/>
      <c r="H604" s="98"/>
      <c r="I604" s="98"/>
      <c r="J604" s="98"/>
    </row>
    <row r="605" spans="2:10" ht="12.75" x14ac:dyDescent="0.2">
      <c r="B605" s="200"/>
      <c r="D605" s="98"/>
      <c r="E605" s="98"/>
      <c r="F605" s="98"/>
      <c r="G605" s="98"/>
      <c r="H605" s="98"/>
      <c r="I605" s="98"/>
      <c r="J605" s="98"/>
    </row>
    <row r="606" spans="2:10" ht="12.75" x14ac:dyDescent="0.2">
      <c r="B606" s="200"/>
      <c r="D606" s="98"/>
      <c r="E606" s="98"/>
      <c r="F606" s="98"/>
      <c r="G606" s="98"/>
      <c r="H606" s="98"/>
      <c r="I606" s="98"/>
      <c r="J606" s="98"/>
    </row>
    <row r="607" spans="2:10" ht="12.75" x14ac:dyDescent="0.2">
      <c r="B607" s="200"/>
      <c r="D607" s="98"/>
      <c r="E607" s="98"/>
      <c r="F607" s="98"/>
      <c r="G607" s="98"/>
      <c r="H607" s="98"/>
      <c r="I607" s="98"/>
      <c r="J607" s="98"/>
    </row>
    <row r="608" spans="2:10" ht="12.75" x14ac:dyDescent="0.2">
      <c r="B608" s="200"/>
      <c r="D608" s="98"/>
      <c r="E608" s="98"/>
      <c r="F608" s="98"/>
      <c r="G608" s="98"/>
      <c r="H608" s="98"/>
      <c r="I608" s="98"/>
      <c r="J608" s="98"/>
    </row>
    <row r="609" spans="2:10" ht="12.75" x14ac:dyDescent="0.2">
      <c r="B609" s="200"/>
      <c r="D609" s="98"/>
      <c r="E609" s="98"/>
      <c r="F609" s="98"/>
      <c r="G609" s="98"/>
      <c r="H609" s="98"/>
      <c r="I609" s="98"/>
      <c r="J609" s="98"/>
    </row>
    <row r="610" spans="2:10" ht="12.75" x14ac:dyDescent="0.2">
      <c r="B610" s="200"/>
      <c r="D610" s="98"/>
      <c r="E610" s="98"/>
      <c r="F610" s="98"/>
      <c r="G610" s="98"/>
      <c r="H610" s="98"/>
      <c r="I610" s="98"/>
      <c r="J610" s="98"/>
    </row>
    <row r="611" spans="2:10" ht="12.75" x14ac:dyDescent="0.2">
      <c r="B611" s="200"/>
      <c r="D611" s="98"/>
      <c r="E611" s="98"/>
      <c r="F611" s="98"/>
      <c r="G611" s="98"/>
      <c r="H611" s="98"/>
      <c r="I611" s="98"/>
      <c r="J611" s="98"/>
    </row>
    <row r="612" spans="2:10" ht="12.75" x14ac:dyDescent="0.2">
      <c r="B612" s="200"/>
      <c r="D612" s="98"/>
      <c r="E612" s="98"/>
      <c r="F612" s="98"/>
      <c r="G612" s="98"/>
      <c r="H612" s="98"/>
      <c r="I612" s="98"/>
      <c r="J612" s="98"/>
    </row>
    <row r="613" spans="2:10" ht="12.75" x14ac:dyDescent="0.2">
      <c r="B613" s="200"/>
      <c r="D613" s="98"/>
      <c r="E613" s="98"/>
      <c r="F613" s="98"/>
      <c r="G613" s="98"/>
      <c r="H613" s="98"/>
      <c r="I613" s="98"/>
      <c r="J613" s="98"/>
    </row>
    <row r="614" spans="2:10" ht="12.75" x14ac:dyDescent="0.2">
      <c r="B614" s="200"/>
      <c r="D614" s="98"/>
      <c r="E614" s="98"/>
      <c r="F614" s="98"/>
      <c r="G614" s="98"/>
      <c r="H614" s="98"/>
      <c r="I614" s="98"/>
      <c r="J614" s="98"/>
    </row>
    <row r="615" spans="2:10" ht="12.75" x14ac:dyDescent="0.2">
      <c r="B615" s="200"/>
      <c r="D615" s="98"/>
      <c r="E615" s="98"/>
      <c r="F615" s="98"/>
      <c r="G615" s="98"/>
      <c r="H615" s="98"/>
      <c r="I615" s="98"/>
      <c r="J615" s="98"/>
    </row>
    <row r="616" spans="2:10" ht="12.75" x14ac:dyDescent="0.2">
      <c r="B616" s="200"/>
      <c r="D616" s="98"/>
      <c r="E616" s="98"/>
      <c r="F616" s="98"/>
      <c r="G616" s="98"/>
      <c r="H616" s="98"/>
      <c r="I616" s="98"/>
      <c r="J616" s="98"/>
    </row>
    <row r="617" spans="2:10" ht="12.75" x14ac:dyDescent="0.2">
      <c r="B617" s="200"/>
      <c r="D617" s="98"/>
      <c r="E617" s="98"/>
      <c r="F617" s="98"/>
      <c r="G617" s="98"/>
      <c r="H617" s="98"/>
      <c r="I617" s="98"/>
      <c r="J617" s="98"/>
    </row>
    <row r="618" spans="2:10" ht="12.75" x14ac:dyDescent="0.2">
      <c r="B618" s="200"/>
      <c r="D618" s="98"/>
      <c r="E618" s="98"/>
      <c r="F618" s="98"/>
      <c r="G618" s="98"/>
      <c r="H618" s="98"/>
      <c r="I618" s="98"/>
      <c r="J618" s="98"/>
    </row>
    <row r="619" spans="2:10" ht="12.75" x14ac:dyDescent="0.2">
      <c r="B619" s="200"/>
      <c r="D619" s="98"/>
      <c r="E619" s="98"/>
      <c r="F619" s="98"/>
      <c r="G619" s="98"/>
      <c r="H619" s="98"/>
      <c r="I619" s="98"/>
      <c r="J619" s="98"/>
    </row>
    <row r="620" spans="2:10" ht="12.75" x14ac:dyDescent="0.2">
      <c r="B620" s="200"/>
      <c r="D620" s="98"/>
      <c r="E620" s="98"/>
      <c r="F620" s="98"/>
      <c r="G620" s="98"/>
      <c r="H620" s="98"/>
      <c r="I620" s="98"/>
      <c r="J620" s="98"/>
    </row>
    <row r="621" spans="2:10" ht="12.75" x14ac:dyDescent="0.2">
      <c r="B621" s="200"/>
      <c r="D621" s="98"/>
      <c r="E621" s="98"/>
      <c r="F621" s="98"/>
      <c r="G621" s="98"/>
      <c r="H621" s="98"/>
      <c r="I621" s="98"/>
      <c r="J621" s="98"/>
    </row>
    <row r="622" spans="2:10" ht="12.75" x14ac:dyDescent="0.2">
      <c r="B622" s="200"/>
      <c r="D622" s="98"/>
      <c r="E622" s="98"/>
      <c r="F622" s="98"/>
      <c r="G622" s="98"/>
      <c r="H622" s="98"/>
      <c r="I622" s="98"/>
      <c r="J622" s="98"/>
    </row>
    <row r="623" spans="2:10" ht="12.75" x14ac:dyDescent="0.2">
      <c r="B623" s="200"/>
      <c r="D623" s="98"/>
      <c r="E623" s="98"/>
      <c r="F623" s="98"/>
      <c r="G623" s="98"/>
      <c r="H623" s="98"/>
      <c r="I623" s="98"/>
      <c r="J623" s="98"/>
    </row>
    <row r="624" spans="2:10" ht="12.75" x14ac:dyDescent="0.2">
      <c r="B624" s="200"/>
      <c r="D624" s="98"/>
      <c r="E624" s="98"/>
      <c r="F624" s="98"/>
      <c r="G624" s="98"/>
      <c r="H624" s="98"/>
      <c r="I624" s="98"/>
      <c r="J624" s="98"/>
    </row>
    <row r="625" spans="2:10" ht="12.75" x14ac:dyDescent="0.2">
      <c r="B625" s="200"/>
      <c r="D625" s="98"/>
      <c r="E625" s="98"/>
      <c r="F625" s="98"/>
      <c r="G625" s="98"/>
      <c r="H625" s="98"/>
      <c r="I625" s="98"/>
      <c r="J625" s="98"/>
    </row>
    <row r="626" spans="2:10" ht="12.75" x14ac:dyDescent="0.2">
      <c r="B626" s="200"/>
      <c r="D626" s="98"/>
      <c r="E626" s="98"/>
      <c r="F626" s="98"/>
      <c r="G626" s="98"/>
      <c r="H626" s="98"/>
      <c r="I626" s="98"/>
      <c r="J626" s="98"/>
    </row>
    <row r="627" spans="2:10" ht="12.75" x14ac:dyDescent="0.2">
      <c r="B627" s="200"/>
      <c r="D627" s="98"/>
      <c r="E627" s="98"/>
      <c r="F627" s="98"/>
      <c r="G627" s="98"/>
      <c r="H627" s="98"/>
      <c r="I627" s="98"/>
      <c r="J627" s="98"/>
    </row>
    <row r="628" spans="2:10" ht="12.75" x14ac:dyDescent="0.2">
      <c r="B628" s="200"/>
      <c r="D628" s="98"/>
      <c r="E628" s="98"/>
      <c r="F628" s="98"/>
      <c r="G628" s="98"/>
      <c r="H628" s="98"/>
      <c r="I628" s="98"/>
      <c r="J628" s="98"/>
    </row>
    <row r="629" spans="2:10" ht="12.75" x14ac:dyDescent="0.2">
      <c r="B629" s="200"/>
      <c r="D629" s="98"/>
      <c r="E629" s="98"/>
      <c r="F629" s="98"/>
      <c r="G629" s="98"/>
      <c r="H629" s="98"/>
      <c r="I629" s="98"/>
      <c r="J629" s="98"/>
    </row>
    <row r="630" spans="2:10" ht="12.75" x14ac:dyDescent="0.2">
      <c r="B630" s="200"/>
      <c r="D630" s="98"/>
      <c r="E630" s="98"/>
      <c r="F630" s="98"/>
      <c r="G630" s="98"/>
      <c r="H630" s="98"/>
      <c r="I630" s="98"/>
      <c r="J630" s="98"/>
    </row>
    <row r="631" spans="2:10" ht="12.75" x14ac:dyDescent="0.2">
      <c r="B631" s="200"/>
      <c r="D631" s="98"/>
      <c r="E631" s="98"/>
      <c r="F631" s="98"/>
      <c r="G631" s="98"/>
      <c r="H631" s="98"/>
      <c r="I631" s="98"/>
      <c r="J631" s="98"/>
    </row>
    <row r="632" spans="2:10" ht="12.75" x14ac:dyDescent="0.2">
      <c r="B632" s="200"/>
      <c r="D632" s="98"/>
      <c r="E632" s="98"/>
      <c r="F632" s="98"/>
      <c r="G632" s="98"/>
      <c r="H632" s="98"/>
      <c r="I632" s="98"/>
      <c r="J632" s="98"/>
    </row>
    <row r="633" spans="2:10" ht="12.75" x14ac:dyDescent="0.2">
      <c r="B633" s="200"/>
      <c r="D633" s="98"/>
      <c r="E633" s="98"/>
      <c r="F633" s="98"/>
      <c r="G633" s="98"/>
      <c r="H633" s="98"/>
      <c r="I633" s="98"/>
      <c r="J633" s="98"/>
    </row>
    <row r="634" spans="2:10" ht="12.75" x14ac:dyDescent="0.2">
      <c r="B634" s="200"/>
      <c r="D634" s="98"/>
      <c r="E634" s="98"/>
      <c r="F634" s="98"/>
      <c r="G634" s="98"/>
      <c r="H634" s="98"/>
      <c r="I634" s="98"/>
      <c r="J634" s="98"/>
    </row>
    <row r="635" spans="2:10" ht="12.75" x14ac:dyDescent="0.2">
      <c r="B635" s="200"/>
      <c r="D635" s="98"/>
      <c r="E635" s="98"/>
      <c r="F635" s="98"/>
      <c r="G635" s="98"/>
      <c r="H635" s="98"/>
      <c r="I635" s="98"/>
      <c r="J635" s="98"/>
    </row>
    <row r="636" spans="2:10" ht="12.75" x14ac:dyDescent="0.2">
      <c r="B636" s="200"/>
      <c r="D636" s="98"/>
      <c r="E636" s="98"/>
      <c r="F636" s="98"/>
      <c r="G636" s="98"/>
      <c r="H636" s="98"/>
      <c r="I636" s="98"/>
      <c r="J636" s="98"/>
    </row>
    <row r="637" spans="2:10" ht="12.75" x14ac:dyDescent="0.2">
      <c r="B637" s="200"/>
      <c r="D637" s="98"/>
      <c r="E637" s="98"/>
      <c r="F637" s="98"/>
      <c r="G637" s="98"/>
      <c r="H637" s="98"/>
      <c r="I637" s="98"/>
      <c r="J637" s="98"/>
    </row>
    <row r="638" spans="2:10" ht="12.75" x14ac:dyDescent="0.2">
      <c r="B638" s="200"/>
      <c r="D638" s="98"/>
      <c r="E638" s="98"/>
      <c r="F638" s="98"/>
      <c r="G638" s="98"/>
      <c r="H638" s="98"/>
      <c r="I638" s="98"/>
      <c r="J638" s="98"/>
    </row>
    <row r="639" spans="2:10" ht="12.75" x14ac:dyDescent="0.2">
      <c r="B639" s="200"/>
      <c r="D639" s="98"/>
      <c r="E639" s="98"/>
      <c r="F639" s="98"/>
      <c r="G639" s="98"/>
      <c r="H639" s="98"/>
      <c r="I639" s="98"/>
      <c r="J639" s="98"/>
    </row>
    <row r="640" spans="2:10" ht="12.75" x14ac:dyDescent="0.2">
      <c r="B640" s="200"/>
      <c r="D640" s="98"/>
      <c r="E640" s="98"/>
      <c r="F640" s="98"/>
      <c r="G640" s="98"/>
      <c r="H640" s="98"/>
      <c r="I640" s="98"/>
      <c r="J640" s="98"/>
    </row>
    <row r="641" spans="2:10" ht="12.75" x14ac:dyDescent="0.2">
      <c r="B641" s="200"/>
      <c r="D641" s="98"/>
      <c r="E641" s="98"/>
      <c r="F641" s="98"/>
      <c r="G641" s="98"/>
      <c r="H641" s="98"/>
      <c r="I641" s="98"/>
      <c r="J641" s="98"/>
    </row>
    <row r="642" spans="2:10" ht="12.75" x14ac:dyDescent="0.2">
      <c r="B642" s="200"/>
      <c r="D642" s="98"/>
      <c r="E642" s="98"/>
      <c r="F642" s="98"/>
      <c r="G642" s="98"/>
      <c r="H642" s="98"/>
      <c r="I642" s="98"/>
      <c r="J642" s="98"/>
    </row>
    <row r="643" spans="2:10" ht="12.75" x14ac:dyDescent="0.2">
      <c r="B643" s="200"/>
      <c r="D643" s="98"/>
      <c r="E643" s="98"/>
      <c r="F643" s="98"/>
      <c r="G643" s="98"/>
      <c r="H643" s="98"/>
      <c r="I643" s="98"/>
      <c r="J643" s="98"/>
    </row>
    <row r="644" spans="2:10" ht="12.75" x14ac:dyDescent="0.2">
      <c r="B644" s="200"/>
      <c r="D644" s="98"/>
      <c r="E644" s="98"/>
      <c r="F644" s="98"/>
      <c r="G644" s="98"/>
      <c r="H644" s="98"/>
      <c r="I644" s="98"/>
      <c r="J644" s="98"/>
    </row>
    <row r="645" spans="2:10" ht="12.75" x14ac:dyDescent="0.2">
      <c r="B645" s="200"/>
      <c r="D645" s="98"/>
      <c r="E645" s="98"/>
      <c r="F645" s="98"/>
      <c r="G645" s="98"/>
      <c r="H645" s="98"/>
      <c r="I645" s="98"/>
      <c r="J645" s="98"/>
    </row>
    <row r="646" spans="2:10" ht="12.75" x14ac:dyDescent="0.2">
      <c r="B646" s="200"/>
      <c r="D646" s="98"/>
      <c r="E646" s="98"/>
      <c r="F646" s="98"/>
      <c r="G646" s="98"/>
      <c r="H646" s="98"/>
      <c r="I646" s="98"/>
      <c r="J646" s="98"/>
    </row>
    <row r="647" spans="2:10" ht="12.75" x14ac:dyDescent="0.2">
      <c r="B647" s="200"/>
      <c r="D647" s="98"/>
      <c r="E647" s="98"/>
      <c r="F647" s="98"/>
      <c r="G647" s="98"/>
      <c r="H647" s="98"/>
      <c r="I647" s="98"/>
      <c r="J647" s="98"/>
    </row>
    <row r="648" spans="2:10" ht="12.75" x14ac:dyDescent="0.2">
      <c r="B648" s="200"/>
      <c r="D648" s="98"/>
      <c r="E648" s="98"/>
      <c r="F648" s="98"/>
      <c r="G648" s="98"/>
      <c r="H648" s="98"/>
      <c r="I648" s="98"/>
      <c r="J648" s="98"/>
    </row>
    <row r="649" spans="2:10" ht="12.75" x14ac:dyDescent="0.2">
      <c r="B649" s="200"/>
      <c r="D649" s="98"/>
      <c r="E649" s="98"/>
      <c r="F649" s="98"/>
      <c r="G649" s="98"/>
      <c r="H649" s="98"/>
      <c r="I649" s="98"/>
      <c r="J649" s="98"/>
    </row>
    <row r="650" spans="2:10" ht="12.75" x14ac:dyDescent="0.2">
      <c r="B650" s="200"/>
      <c r="D650" s="98"/>
      <c r="E650" s="98"/>
      <c r="F650" s="98"/>
      <c r="G650" s="98"/>
      <c r="H650" s="98"/>
      <c r="I650" s="98"/>
      <c r="J650" s="98"/>
    </row>
    <row r="651" spans="2:10" ht="12.75" x14ac:dyDescent="0.2">
      <c r="B651" s="200"/>
      <c r="D651" s="98"/>
      <c r="E651" s="98"/>
      <c r="F651" s="98"/>
      <c r="G651" s="98"/>
      <c r="H651" s="98"/>
      <c r="I651" s="98"/>
      <c r="J651" s="98"/>
    </row>
    <row r="652" spans="2:10" ht="12.75" x14ac:dyDescent="0.2">
      <c r="B652" s="200"/>
      <c r="D652" s="98"/>
      <c r="E652" s="98"/>
      <c r="F652" s="98"/>
      <c r="G652" s="98"/>
      <c r="H652" s="98"/>
      <c r="I652" s="98"/>
      <c r="J652" s="98"/>
    </row>
    <row r="653" spans="2:10" ht="12.75" x14ac:dyDescent="0.2">
      <c r="B653" s="200"/>
      <c r="D653" s="98"/>
      <c r="E653" s="98"/>
      <c r="F653" s="98"/>
      <c r="G653" s="98"/>
      <c r="H653" s="98"/>
      <c r="I653" s="98"/>
      <c r="J653" s="98"/>
    </row>
    <row r="654" spans="2:10" ht="12.75" x14ac:dyDescent="0.2">
      <c r="B654" s="200"/>
      <c r="D654" s="98"/>
      <c r="E654" s="98"/>
      <c r="F654" s="98"/>
      <c r="G654" s="98"/>
      <c r="H654" s="98"/>
      <c r="I654" s="98"/>
      <c r="J654" s="98"/>
    </row>
    <row r="655" spans="2:10" ht="12.75" x14ac:dyDescent="0.2">
      <c r="B655" s="200"/>
      <c r="D655" s="98"/>
      <c r="E655" s="98"/>
      <c r="F655" s="98"/>
      <c r="G655" s="98"/>
      <c r="H655" s="98"/>
      <c r="I655" s="98"/>
      <c r="J655" s="98"/>
    </row>
    <row r="656" spans="2:10" ht="12.75" x14ac:dyDescent="0.2">
      <c r="B656" s="200"/>
      <c r="D656" s="98"/>
      <c r="E656" s="98"/>
      <c r="F656" s="98"/>
      <c r="G656" s="98"/>
      <c r="H656" s="98"/>
      <c r="I656" s="98"/>
      <c r="J656" s="98"/>
    </row>
    <row r="657" spans="2:10" ht="12.75" x14ac:dyDescent="0.2">
      <c r="B657" s="200"/>
      <c r="D657" s="98"/>
      <c r="E657" s="98"/>
      <c r="F657" s="98"/>
      <c r="G657" s="98"/>
      <c r="H657" s="98"/>
      <c r="I657" s="98"/>
      <c r="J657" s="98"/>
    </row>
    <row r="658" spans="2:10" ht="12.75" x14ac:dyDescent="0.2">
      <c r="B658" s="200"/>
      <c r="D658" s="98"/>
      <c r="E658" s="98"/>
      <c r="F658" s="98"/>
      <c r="G658" s="98"/>
      <c r="H658" s="98"/>
      <c r="I658" s="98"/>
      <c r="J658" s="98"/>
    </row>
    <row r="659" spans="2:10" ht="12.75" x14ac:dyDescent="0.2">
      <c r="B659" s="200"/>
      <c r="D659" s="98"/>
      <c r="E659" s="98"/>
      <c r="F659" s="98"/>
      <c r="G659" s="98"/>
      <c r="H659" s="98"/>
      <c r="I659" s="98"/>
      <c r="J659" s="98"/>
    </row>
    <row r="660" spans="2:10" ht="12.75" x14ac:dyDescent="0.2">
      <c r="B660" s="200"/>
      <c r="D660" s="98"/>
      <c r="E660" s="98"/>
      <c r="F660" s="98"/>
      <c r="G660" s="98"/>
      <c r="H660" s="98"/>
      <c r="I660" s="98"/>
      <c r="J660" s="98"/>
    </row>
    <row r="661" spans="2:10" ht="12.75" x14ac:dyDescent="0.2">
      <c r="B661" s="200"/>
      <c r="D661" s="98"/>
      <c r="E661" s="98"/>
      <c r="F661" s="98"/>
      <c r="G661" s="98"/>
      <c r="H661" s="98"/>
      <c r="I661" s="98"/>
      <c r="J661" s="98"/>
    </row>
    <row r="662" spans="2:10" ht="12.75" x14ac:dyDescent="0.2">
      <c r="B662" s="200"/>
      <c r="D662" s="98"/>
      <c r="E662" s="98"/>
      <c r="F662" s="98"/>
      <c r="G662" s="98"/>
      <c r="H662" s="98"/>
      <c r="I662" s="98"/>
      <c r="J662" s="98"/>
    </row>
    <row r="663" spans="2:10" ht="12.75" x14ac:dyDescent="0.2">
      <c r="B663" s="200"/>
      <c r="D663" s="98"/>
      <c r="E663" s="98"/>
      <c r="F663" s="98"/>
      <c r="G663" s="98"/>
      <c r="H663" s="98"/>
      <c r="I663" s="98"/>
      <c r="J663" s="98"/>
    </row>
    <row r="664" spans="2:10" ht="12.75" x14ac:dyDescent="0.2">
      <c r="B664" s="200"/>
      <c r="D664" s="98"/>
      <c r="E664" s="98"/>
      <c r="F664" s="98"/>
      <c r="G664" s="98"/>
      <c r="H664" s="98"/>
      <c r="I664" s="98"/>
      <c r="J664" s="98"/>
    </row>
    <row r="665" spans="2:10" ht="12.75" x14ac:dyDescent="0.2">
      <c r="B665" s="200"/>
      <c r="D665" s="98"/>
      <c r="E665" s="98"/>
      <c r="F665" s="98"/>
      <c r="G665" s="98"/>
      <c r="H665" s="98"/>
      <c r="I665" s="98"/>
      <c r="J665" s="98"/>
    </row>
    <row r="666" spans="2:10" ht="12.75" x14ac:dyDescent="0.2">
      <c r="B666" s="200"/>
      <c r="D666" s="98"/>
      <c r="E666" s="98"/>
      <c r="F666" s="98"/>
      <c r="G666" s="98"/>
      <c r="H666" s="98"/>
      <c r="I666" s="98"/>
      <c r="J666" s="98"/>
    </row>
    <row r="667" spans="2:10" ht="12.75" x14ac:dyDescent="0.2">
      <c r="B667" s="200"/>
      <c r="D667" s="98"/>
      <c r="E667" s="98"/>
      <c r="F667" s="98"/>
      <c r="G667" s="98"/>
      <c r="H667" s="98"/>
      <c r="I667" s="98"/>
      <c r="J667" s="98"/>
    </row>
    <row r="668" spans="2:10" ht="12.75" x14ac:dyDescent="0.2">
      <c r="B668" s="200"/>
      <c r="D668" s="98"/>
      <c r="E668" s="98"/>
      <c r="F668" s="98"/>
      <c r="G668" s="98"/>
      <c r="H668" s="98"/>
      <c r="I668" s="98"/>
      <c r="J668" s="98"/>
    </row>
    <row r="669" spans="2:10" ht="12.75" x14ac:dyDescent="0.2">
      <c r="B669" s="200"/>
      <c r="D669" s="98"/>
      <c r="E669" s="98"/>
      <c r="F669" s="98"/>
      <c r="G669" s="98"/>
      <c r="H669" s="98"/>
      <c r="I669" s="98"/>
      <c r="J669" s="98"/>
    </row>
    <row r="670" spans="2:10" ht="12.75" x14ac:dyDescent="0.2">
      <c r="B670" s="200"/>
      <c r="D670" s="98"/>
      <c r="E670" s="98"/>
      <c r="F670" s="98"/>
      <c r="G670" s="98"/>
      <c r="H670" s="98"/>
      <c r="I670" s="98"/>
      <c r="J670" s="98"/>
    </row>
    <row r="671" spans="2:10" ht="12.75" x14ac:dyDescent="0.2">
      <c r="B671" s="200"/>
      <c r="D671" s="98"/>
      <c r="E671" s="98"/>
      <c r="F671" s="98"/>
      <c r="G671" s="98"/>
      <c r="H671" s="98"/>
      <c r="I671" s="98"/>
      <c r="J671" s="98"/>
    </row>
    <row r="672" spans="2:10" ht="12.75" x14ac:dyDescent="0.2">
      <c r="B672" s="200"/>
      <c r="D672" s="98"/>
      <c r="E672" s="98"/>
      <c r="F672" s="98"/>
      <c r="G672" s="98"/>
      <c r="H672" s="98"/>
      <c r="I672" s="98"/>
      <c r="J672" s="98"/>
    </row>
    <row r="673" spans="2:10" ht="12.75" x14ac:dyDescent="0.2">
      <c r="B673" s="200"/>
      <c r="D673" s="98"/>
      <c r="E673" s="98"/>
      <c r="F673" s="98"/>
      <c r="G673" s="98"/>
      <c r="H673" s="98"/>
      <c r="I673" s="98"/>
      <c r="J673" s="98"/>
    </row>
    <row r="674" spans="2:10" ht="12.75" x14ac:dyDescent="0.2">
      <c r="B674" s="200"/>
      <c r="D674" s="98"/>
      <c r="E674" s="98"/>
      <c r="F674" s="98"/>
      <c r="G674" s="98"/>
      <c r="H674" s="98"/>
      <c r="I674" s="98"/>
      <c r="J674" s="98"/>
    </row>
    <row r="675" spans="2:10" ht="12.75" x14ac:dyDescent="0.2">
      <c r="B675" s="200"/>
      <c r="D675" s="98"/>
      <c r="E675" s="98"/>
      <c r="F675" s="98"/>
      <c r="G675" s="98"/>
      <c r="H675" s="98"/>
      <c r="I675" s="98"/>
      <c r="J675" s="98"/>
    </row>
    <row r="676" spans="2:10" ht="12.75" x14ac:dyDescent="0.2">
      <c r="B676" s="200"/>
      <c r="D676" s="98"/>
      <c r="E676" s="98"/>
      <c r="F676" s="98"/>
      <c r="G676" s="98"/>
      <c r="H676" s="98"/>
      <c r="I676" s="98"/>
      <c r="J676" s="98"/>
    </row>
    <row r="677" spans="2:10" ht="12.75" x14ac:dyDescent="0.2">
      <c r="B677" s="200"/>
      <c r="D677" s="98"/>
      <c r="E677" s="98"/>
      <c r="F677" s="98"/>
      <c r="G677" s="98"/>
      <c r="H677" s="98"/>
      <c r="I677" s="98"/>
      <c r="J677" s="98"/>
    </row>
    <row r="678" spans="2:10" ht="12.75" x14ac:dyDescent="0.2">
      <c r="B678" s="200"/>
      <c r="D678" s="98"/>
      <c r="E678" s="98"/>
      <c r="F678" s="98"/>
      <c r="G678" s="98"/>
      <c r="H678" s="98"/>
      <c r="I678" s="98"/>
      <c r="J678" s="98"/>
    </row>
    <row r="679" spans="2:10" ht="12.75" x14ac:dyDescent="0.2">
      <c r="B679" s="200"/>
      <c r="D679" s="98"/>
      <c r="E679" s="98"/>
      <c r="F679" s="98"/>
      <c r="G679" s="98"/>
      <c r="H679" s="98"/>
      <c r="I679" s="98"/>
      <c r="J679" s="98"/>
    </row>
    <row r="680" spans="2:10" ht="12.75" x14ac:dyDescent="0.2">
      <c r="B680" s="200"/>
      <c r="D680" s="98"/>
      <c r="E680" s="98"/>
      <c r="F680" s="98"/>
      <c r="G680" s="98"/>
      <c r="H680" s="98"/>
      <c r="I680" s="98"/>
      <c r="J680" s="98"/>
    </row>
    <row r="681" spans="2:10" ht="12.75" x14ac:dyDescent="0.2">
      <c r="B681" s="200"/>
      <c r="D681" s="98"/>
      <c r="E681" s="98"/>
      <c r="F681" s="98"/>
      <c r="G681" s="98"/>
      <c r="H681" s="98"/>
      <c r="I681" s="98"/>
      <c r="J681" s="98"/>
    </row>
    <row r="682" spans="2:10" ht="12.75" x14ac:dyDescent="0.2">
      <c r="B682" s="200"/>
      <c r="D682" s="98"/>
      <c r="E682" s="98"/>
      <c r="F682" s="98"/>
      <c r="G682" s="98"/>
      <c r="H682" s="98"/>
      <c r="I682" s="98"/>
      <c r="J682" s="98"/>
    </row>
    <row r="683" spans="2:10" ht="12.75" x14ac:dyDescent="0.2">
      <c r="B683" s="200"/>
      <c r="D683" s="98"/>
      <c r="E683" s="98"/>
      <c r="F683" s="98"/>
      <c r="G683" s="98"/>
      <c r="H683" s="98"/>
      <c r="I683" s="98"/>
      <c r="J683" s="98"/>
    </row>
    <row r="684" spans="2:10" ht="12.75" x14ac:dyDescent="0.2">
      <c r="B684" s="200"/>
      <c r="D684" s="98"/>
      <c r="E684" s="98"/>
      <c r="F684" s="98"/>
      <c r="G684" s="98"/>
      <c r="H684" s="98"/>
      <c r="I684" s="98"/>
      <c r="J684" s="98"/>
    </row>
    <row r="685" spans="2:10" ht="12.75" x14ac:dyDescent="0.2">
      <c r="B685" s="200"/>
      <c r="D685" s="98"/>
      <c r="E685" s="98"/>
      <c r="F685" s="98"/>
      <c r="G685" s="98"/>
      <c r="H685" s="98"/>
      <c r="I685" s="98"/>
      <c r="J685" s="98"/>
    </row>
    <row r="686" spans="2:10" ht="12.75" x14ac:dyDescent="0.2">
      <c r="B686" s="200"/>
      <c r="D686" s="98"/>
      <c r="E686" s="98"/>
      <c r="F686" s="98"/>
      <c r="G686" s="98"/>
      <c r="H686" s="98"/>
      <c r="I686" s="98"/>
      <c r="J686" s="98"/>
    </row>
    <row r="687" spans="2:10" ht="12.75" x14ac:dyDescent="0.2">
      <c r="B687" s="200"/>
      <c r="D687" s="98"/>
      <c r="E687" s="98"/>
      <c r="F687" s="98"/>
      <c r="G687" s="98"/>
      <c r="H687" s="98"/>
      <c r="I687" s="98"/>
      <c r="J687" s="98"/>
    </row>
    <row r="688" spans="2:10" ht="12.75" x14ac:dyDescent="0.2">
      <c r="B688" s="200"/>
      <c r="D688" s="98"/>
      <c r="E688" s="98"/>
      <c r="F688" s="98"/>
      <c r="G688" s="98"/>
      <c r="H688" s="98"/>
      <c r="I688" s="98"/>
      <c r="J688" s="98"/>
    </row>
    <row r="689" spans="2:10" ht="12.75" x14ac:dyDescent="0.2">
      <c r="B689" s="200"/>
      <c r="D689" s="98"/>
      <c r="E689" s="98"/>
      <c r="F689" s="98"/>
      <c r="G689" s="98"/>
      <c r="H689" s="98"/>
      <c r="I689" s="98"/>
      <c r="J689" s="98"/>
    </row>
    <row r="690" spans="2:10" ht="12.75" x14ac:dyDescent="0.2">
      <c r="B690" s="200"/>
      <c r="D690" s="98"/>
      <c r="E690" s="98"/>
      <c r="F690" s="98"/>
      <c r="G690" s="98"/>
      <c r="H690" s="98"/>
      <c r="I690" s="98"/>
      <c r="J690" s="98"/>
    </row>
    <row r="691" spans="2:10" ht="12.75" x14ac:dyDescent="0.2">
      <c r="B691" s="200"/>
      <c r="D691" s="98"/>
      <c r="E691" s="98"/>
      <c r="F691" s="98"/>
      <c r="G691" s="98"/>
      <c r="H691" s="98"/>
      <c r="I691" s="98"/>
      <c r="J691" s="98"/>
    </row>
    <row r="692" spans="2:10" ht="12.75" x14ac:dyDescent="0.2">
      <c r="B692" s="200"/>
      <c r="D692" s="98"/>
      <c r="E692" s="98"/>
      <c r="F692" s="98"/>
      <c r="G692" s="98"/>
      <c r="H692" s="98"/>
      <c r="I692" s="98"/>
      <c r="J692" s="98"/>
    </row>
    <row r="693" spans="2:10" ht="12.75" x14ac:dyDescent="0.2">
      <c r="B693" s="200"/>
      <c r="D693" s="98"/>
      <c r="E693" s="98"/>
      <c r="F693" s="98"/>
      <c r="G693" s="98"/>
      <c r="H693" s="98"/>
      <c r="I693" s="98"/>
      <c r="J693" s="98"/>
    </row>
    <row r="694" spans="2:10" ht="12.75" x14ac:dyDescent="0.2">
      <c r="B694" s="200"/>
      <c r="D694" s="98"/>
      <c r="E694" s="98"/>
      <c r="F694" s="98"/>
      <c r="G694" s="98"/>
      <c r="H694" s="98"/>
      <c r="I694" s="98"/>
      <c r="J694" s="98"/>
    </row>
    <row r="695" spans="2:10" ht="12.75" x14ac:dyDescent="0.2">
      <c r="B695" s="200"/>
      <c r="D695" s="98"/>
      <c r="E695" s="98"/>
      <c r="F695" s="98"/>
      <c r="G695" s="98"/>
      <c r="H695" s="98"/>
      <c r="I695" s="98"/>
      <c r="J695" s="98"/>
    </row>
    <row r="696" spans="2:10" ht="12.75" x14ac:dyDescent="0.2">
      <c r="B696" s="200"/>
      <c r="D696" s="98"/>
      <c r="E696" s="98"/>
      <c r="F696" s="98"/>
      <c r="G696" s="98"/>
      <c r="H696" s="98"/>
      <c r="I696" s="98"/>
      <c r="J696" s="98"/>
    </row>
    <row r="697" spans="2:10" ht="12.75" x14ac:dyDescent="0.2">
      <c r="B697" s="200"/>
      <c r="D697" s="98"/>
      <c r="E697" s="98"/>
      <c r="F697" s="98"/>
      <c r="G697" s="98"/>
      <c r="H697" s="98"/>
      <c r="I697" s="98"/>
      <c r="J697" s="98"/>
    </row>
    <row r="698" spans="2:10" ht="12.75" x14ac:dyDescent="0.2">
      <c r="B698" s="200"/>
      <c r="D698" s="98"/>
      <c r="E698" s="98"/>
      <c r="F698" s="98"/>
      <c r="G698" s="98"/>
      <c r="H698" s="98"/>
      <c r="I698" s="98"/>
      <c r="J698" s="98"/>
    </row>
    <row r="699" spans="2:10" ht="12.75" x14ac:dyDescent="0.2">
      <c r="B699" s="200"/>
      <c r="D699" s="98"/>
      <c r="E699" s="98"/>
      <c r="F699" s="98"/>
      <c r="G699" s="98"/>
      <c r="H699" s="98"/>
      <c r="I699" s="98"/>
      <c r="J699" s="98"/>
    </row>
    <row r="700" spans="2:10" ht="12.75" x14ac:dyDescent="0.2">
      <c r="B700" s="200"/>
      <c r="D700" s="98"/>
      <c r="E700" s="98"/>
      <c r="F700" s="98"/>
      <c r="G700" s="98"/>
      <c r="H700" s="98"/>
      <c r="I700" s="98"/>
      <c r="J700" s="98"/>
    </row>
    <row r="701" spans="2:10" ht="12.75" x14ac:dyDescent="0.2">
      <c r="B701" s="200"/>
      <c r="D701" s="98"/>
      <c r="E701" s="98"/>
      <c r="F701" s="98"/>
      <c r="G701" s="98"/>
      <c r="H701" s="98"/>
      <c r="I701" s="98"/>
      <c r="J701" s="98"/>
    </row>
    <row r="702" spans="2:10" ht="12.75" x14ac:dyDescent="0.2">
      <c r="B702" s="200"/>
      <c r="D702" s="98"/>
      <c r="E702" s="98"/>
      <c r="F702" s="98"/>
      <c r="G702" s="98"/>
      <c r="H702" s="98"/>
      <c r="I702" s="98"/>
      <c r="J702" s="98"/>
    </row>
    <row r="703" spans="2:10" ht="12.75" x14ac:dyDescent="0.2">
      <c r="B703" s="200"/>
      <c r="D703" s="98"/>
      <c r="E703" s="98"/>
      <c r="F703" s="98"/>
      <c r="G703" s="98"/>
      <c r="H703" s="98"/>
      <c r="I703" s="98"/>
      <c r="J703" s="98"/>
    </row>
    <row r="704" spans="2:10" ht="12.75" x14ac:dyDescent="0.2">
      <c r="B704" s="200"/>
      <c r="D704" s="98"/>
      <c r="E704" s="98"/>
      <c r="F704" s="98"/>
      <c r="G704" s="98"/>
      <c r="H704" s="98"/>
      <c r="I704" s="98"/>
      <c r="J704" s="98"/>
    </row>
    <row r="705" spans="2:10" ht="12.75" x14ac:dyDescent="0.2">
      <c r="B705" s="200"/>
      <c r="D705" s="98"/>
      <c r="E705" s="98"/>
      <c r="F705" s="98"/>
      <c r="G705" s="98"/>
      <c r="H705" s="98"/>
      <c r="I705" s="98"/>
      <c r="J705" s="98"/>
    </row>
    <row r="706" spans="2:10" ht="12.75" x14ac:dyDescent="0.2">
      <c r="B706" s="200"/>
      <c r="D706" s="98"/>
      <c r="E706" s="98"/>
      <c r="F706" s="98"/>
      <c r="G706" s="98"/>
      <c r="H706" s="98"/>
      <c r="I706" s="98"/>
      <c r="J706" s="98"/>
    </row>
    <row r="707" spans="2:10" ht="12.75" x14ac:dyDescent="0.2">
      <c r="B707" s="200"/>
      <c r="D707" s="98"/>
      <c r="E707" s="98"/>
      <c r="F707" s="98"/>
      <c r="G707" s="98"/>
      <c r="H707" s="98"/>
      <c r="I707" s="98"/>
      <c r="J707" s="98"/>
    </row>
    <row r="708" spans="2:10" ht="12.75" x14ac:dyDescent="0.2">
      <c r="B708" s="200"/>
      <c r="D708" s="98"/>
      <c r="E708" s="98"/>
      <c r="F708" s="98"/>
      <c r="G708" s="98"/>
      <c r="H708" s="98"/>
      <c r="I708" s="98"/>
      <c r="J708" s="98"/>
    </row>
    <row r="709" spans="2:10" ht="12.75" x14ac:dyDescent="0.2">
      <c r="B709" s="200"/>
      <c r="D709" s="98"/>
      <c r="E709" s="98"/>
      <c r="F709" s="98"/>
      <c r="G709" s="98"/>
      <c r="H709" s="98"/>
      <c r="I709" s="98"/>
      <c r="J709" s="98"/>
    </row>
    <row r="710" spans="2:10" ht="12.75" x14ac:dyDescent="0.2">
      <c r="B710" s="200"/>
      <c r="D710" s="98"/>
      <c r="E710" s="98"/>
      <c r="F710" s="98"/>
      <c r="G710" s="98"/>
      <c r="H710" s="98"/>
      <c r="I710" s="98"/>
      <c r="J710" s="98"/>
    </row>
    <row r="711" spans="2:10" ht="12.75" x14ac:dyDescent="0.2">
      <c r="B711" s="200"/>
      <c r="D711" s="98"/>
      <c r="E711" s="98"/>
      <c r="F711" s="98"/>
      <c r="G711" s="98"/>
      <c r="H711" s="98"/>
      <c r="I711" s="98"/>
      <c r="J711" s="98"/>
    </row>
    <row r="712" spans="2:10" ht="12.75" x14ac:dyDescent="0.2">
      <c r="B712" s="200"/>
      <c r="D712" s="98"/>
      <c r="E712" s="98"/>
      <c r="F712" s="98"/>
      <c r="G712" s="98"/>
      <c r="H712" s="98"/>
      <c r="I712" s="98"/>
      <c r="J712" s="98"/>
    </row>
    <row r="713" spans="2:10" ht="12.75" x14ac:dyDescent="0.2">
      <c r="B713" s="200"/>
      <c r="D713" s="98"/>
      <c r="E713" s="98"/>
      <c r="F713" s="98"/>
      <c r="G713" s="98"/>
      <c r="H713" s="98"/>
      <c r="I713" s="98"/>
      <c r="J713" s="98"/>
    </row>
    <row r="714" spans="2:10" ht="12.75" x14ac:dyDescent="0.2">
      <c r="B714" s="200"/>
      <c r="D714" s="98"/>
      <c r="E714" s="98"/>
      <c r="F714" s="98"/>
      <c r="G714" s="98"/>
      <c r="H714" s="98"/>
      <c r="I714" s="98"/>
      <c r="J714" s="98"/>
    </row>
    <row r="715" spans="2:10" ht="12.75" x14ac:dyDescent="0.2">
      <c r="B715" s="200"/>
      <c r="D715" s="98"/>
      <c r="E715" s="98"/>
      <c r="F715" s="98"/>
      <c r="G715" s="98"/>
      <c r="H715" s="98"/>
      <c r="I715" s="98"/>
      <c r="J715" s="98"/>
    </row>
    <row r="716" spans="2:10" ht="12.75" x14ac:dyDescent="0.2">
      <c r="B716" s="200"/>
      <c r="D716" s="98"/>
      <c r="E716" s="98"/>
      <c r="F716" s="98"/>
      <c r="G716" s="98"/>
      <c r="H716" s="98"/>
      <c r="I716" s="98"/>
      <c r="J716" s="98"/>
    </row>
    <row r="717" spans="2:10" ht="12.75" x14ac:dyDescent="0.2">
      <c r="B717" s="200"/>
      <c r="D717" s="98"/>
      <c r="E717" s="98"/>
      <c r="F717" s="98"/>
      <c r="G717" s="98"/>
      <c r="H717" s="98"/>
      <c r="I717" s="98"/>
      <c r="J717" s="98"/>
    </row>
    <row r="718" spans="2:10" ht="12.75" x14ac:dyDescent="0.2">
      <c r="B718" s="200"/>
      <c r="D718" s="98"/>
      <c r="E718" s="98"/>
      <c r="F718" s="98"/>
      <c r="G718" s="98"/>
      <c r="H718" s="98"/>
      <c r="I718" s="98"/>
      <c r="J718" s="98"/>
    </row>
    <row r="719" spans="2:10" ht="12.75" x14ac:dyDescent="0.2">
      <c r="B719" s="200"/>
      <c r="D719" s="98"/>
      <c r="E719" s="98"/>
      <c r="F719" s="98"/>
      <c r="G719" s="98"/>
      <c r="H719" s="98"/>
      <c r="I719" s="98"/>
      <c r="J719" s="98"/>
    </row>
    <row r="720" spans="2:10" ht="12.75" x14ac:dyDescent="0.2">
      <c r="B720" s="200"/>
      <c r="D720" s="98"/>
      <c r="E720" s="98"/>
      <c r="F720" s="98"/>
      <c r="G720" s="98"/>
      <c r="H720" s="98"/>
      <c r="I720" s="98"/>
      <c r="J720" s="98"/>
    </row>
    <row r="721" spans="2:10" ht="12.75" x14ac:dyDescent="0.2">
      <c r="B721" s="200"/>
      <c r="D721" s="98"/>
      <c r="E721" s="98"/>
      <c r="F721" s="98"/>
      <c r="G721" s="98"/>
      <c r="H721" s="98"/>
      <c r="I721" s="98"/>
      <c r="J721" s="98"/>
    </row>
    <row r="722" spans="2:10" ht="12.75" x14ac:dyDescent="0.2">
      <c r="B722" s="200"/>
      <c r="D722" s="98"/>
      <c r="E722" s="98"/>
      <c r="F722" s="98"/>
      <c r="G722" s="98"/>
      <c r="H722" s="98"/>
      <c r="I722" s="98"/>
      <c r="J722" s="98"/>
    </row>
    <row r="723" spans="2:10" ht="12.75" x14ac:dyDescent="0.2">
      <c r="B723" s="200"/>
      <c r="D723" s="98"/>
      <c r="E723" s="98"/>
      <c r="F723" s="98"/>
      <c r="G723" s="98"/>
      <c r="H723" s="98"/>
      <c r="I723" s="98"/>
      <c r="J723" s="98"/>
    </row>
    <row r="724" spans="2:10" ht="12.75" x14ac:dyDescent="0.2">
      <c r="B724" s="200"/>
      <c r="D724" s="98"/>
      <c r="E724" s="98"/>
      <c r="F724" s="98"/>
      <c r="G724" s="98"/>
      <c r="H724" s="98"/>
      <c r="I724" s="98"/>
      <c r="J724" s="98"/>
    </row>
    <row r="725" spans="2:10" ht="12.75" x14ac:dyDescent="0.2">
      <c r="B725" s="200"/>
      <c r="D725" s="98"/>
      <c r="E725" s="98"/>
      <c r="F725" s="98"/>
      <c r="G725" s="98"/>
      <c r="H725" s="98"/>
      <c r="I725" s="98"/>
      <c r="J725" s="98"/>
    </row>
    <row r="726" spans="2:10" ht="12.75" x14ac:dyDescent="0.2">
      <c r="B726" s="200"/>
      <c r="D726" s="98"/>
      <c r="E726" s="98"/>
      <c r="F726" s="98"/>
      <c r="G726" s="98"/>
      <c r="H726" s="98"/>
      <c r="I726" s="98"/>
      <c r="J726" s="98"/>
    </row>
    <row r="727" spans="2:10" ht="12.75" x14ac:dyDescent="0.2">
      <c r="B727" s="200"/>
      <c r="D727" s="98"/>
      <c r="E727" s="98"/>
      <c r="F727" s="98"/>
      <c r="G727" s="98"/>
      <c r="H727" s="98"/>
      <c r="I727" s="98"/>
      <c r="J727" s="98"/>
    </row>
    <row r="728" spans="2:10" ht="12.75" x14ac:dyDescent="0.2">
      <c r="B728" s="200"/>
      <c r="D728" s="98"/>
      <c r="E728" s="98"/>
      <c r="F728" s="98"/>
      <c r="G728" s="98"/>
      <c r="H728" s="98"/>
      <c r="I728" s="98"/>
      <c r="J728" s="98"/>
    </row>
    <row r="729" spans="2:10" ht="12.75" x14ac:dyDescent="0.2">
      <c r="B729" s="200"/>
      <c r="D729" s="98"/>
      <c r="E729" s="98"/>
      <c r="F729" s="98"/>
      <c r="G729" s="98"/>
      <c r="H729" s="98"/>
      <c r="I729" s="98"/>
      <c r="J729" s="98"/>
    </row>
    <row r="730" spans="2:10" ht="12.75" x14ac:dyDescent="0.2">
      <c r="B730" s="200"/>
      <c r="D730" s="98"/>
      <c r="E730" s="98"/>
      <c r="F730" s="98"/>
      <c r="G730" s="98"/>
      <c r="H730" s="98"/>
      <c r="I730" s="98"/>
      <c r="J730" s="98"/>
    </row>
    <row r="731" spans="2:10" ht="12.75" x14ac:dyDescent="0.2">
      <c r="B731" s="200"/>
      <c r="D731" s="98"/>
      <c r="E731" s="98"/>
      <c r="F731" s="98"/>
      <c r="G731" s="98"/>
      <c r="H731" s="98"/>
      <c r="I731" s="98"/>
      <c r="J731" s="98"/>
    </row>
    <row r="732" spans="2:10" ht="12.75" x14ac:dyDescent="0.2">
      <c r="B732" s="200"/>
      <c r="D732" s="98"/>
      <c r="E732" s="98"/>
      <c r="F732" s="98"/>
      <c r="G732" s="98"/>
      <c r="H732" s="98"/>
      <c r="I732" s="98"/>
      <c r="J732" s="98"/>
    </row>
    <row r="733" spans="2:10" ht="12.75" x14ac:dyDescent="0.2">
      <c r="B733" s="200"/>
      <c r="D733" s="98"/>
      <c r="E733" s="98"/>
      <c r="F733" s="98"/>
      <c r="G733" s="98"/>
      <c r="H733" s="98"/>
      <c r="I733" s="98"/>
      <c r="J733" s="98"/>
    </row>
    <row r="734" spans="2:10" ht="12.75" x14ac:dyDescent="0.2">
      <c r="B734" s="200"/>
      <c r="D734" s="98"/>
      <c r="E734" s="98"/>
      <c r="F734" s="98"/>
      <c r="G734" s="98"/>
      <c r="H734" s="98"/>
      <c r="I734" s="98"/>
      <c r="J734" s="98"/>
    </row>
    <row r="735" spans="2:10" ht="12.75" x14ac:dyDescent="0.2">
      <c r="B735" s="200"/>
      <c r="D735" s="98"/>
      <c r="E735" s="98"/>
      <c r="F735" s="98"/>
      <c r="G735" s="98"/>
      <c r="H735" s="98"/>
      <c r="I735" s="98"/>
      <c r="J735" s="98"/>
    </row>
    <row r="736" spans="2:10" ht="12.75" x14ac:dyDescent="0.2">
      <c r="B736" s="200"/>
      <c r="D736" s="98"/>
      <c r="E736" s="98"/>
      <c r="F736" s="98"/>
      <c r="G736" s="98"/>
      <c r="H736" s="98"/>
      <c r="I736" s="98"/>
      <c r="J736" s="98"/>
    </row>
    <row r="737" spans="2:10" ht="12.75" x14ac:dyDescent="0.2">
      <c r="B737" s="200"/>
      <c r="D737" s="98"/>
      <c r="E737" s="98"/>
      <c r="F737" s="98"/>
      <c r="G737" s="98"/>
      <c r="H737" s="98"/>
      <c r="I737" s="98"/>
      <c r="J737" s="98"/>
    </row>
    <row r="738" spans="2:10" ht="12.75" x14ac:dyDescent="0.2">
      <c r="B738" s="200"/>
      <c r="D738" s="98"/>
      <c r="E738" s="98"/>
      <c r="F738" s="98"/>
      <c r="G738" s="98"/>
      <c r="H738" s="98"/>
      <c r="I738" s="98"/>
      <c r="J738" s="98"/>
    </row>
    <row r="739" spans="2:10" ht="12.75" x14ac:dyDescent="0.2">
      <c r="B739" s="200"/>
      <c r="D739" s="98"/>
      <c r="E739" s="98"/>
      <c r="F739" s="98"/>
      <c r="G739" s="98"/>
      <c r="H739" s="98"/>
      <c r="I739" s="98"/>
      <c r="J739" s="98"/>
    </row>
    <row r="740" spans="2:10" ht="12.75" x14ac:dyDescent="0.2">
      <c r="B740" s="200"/>
      <c r="D740" s="98"/>
      <c r="E740" s="98"/>
      <c r="F740" s="98"/>
      <c r="G740" s="98"/>
      <c r="H740" s="98"/>
      <c r="I740" s="98"/>
      <c r="J740" s="98"/>
    </row>
    <row r="741" spans="2:10" ht="12.75" x14ac:dyDescent="0.2">
      <c r="B741" s="200"/>
      <c r="D741" s="98"/>
      <c r="E741" s="98"/>
      <c r="F741" s="98"/>
      <c r="G741" s="98"/>
      <c r="H741" s="98"/>
      <c r="I741" s="98"/>
      <c r="J741" s="98"/>
    </row>
    <row r="742" spans="2:10" ht="12.75" x14ac:dyDescent="0.2">
      <c r="B742" s="200"/>
      <c r="D742" s="98"/>
      <c r="E742" s="98"/>
      <c r="F742" s="98"/>
      <c r="G742" s="98"/>
      <c r="H742" s="98"/>
      <c r="I742" s="98"/>
      <c r="J742" s="98"/>
    </row>
    <row r="743" spans="2:10" ht="12.75" x14ac:dyDescent="0.2">
      <c r="B743" s="200"/>
      <c r="D743" s="98"/>
      <c r="E743" s="98"/>
      <c r="F743" s="98"/>
      <c r="G743" s="98"/>
      <c r="H743" s="98"/>
      <c r="I743" s="98"/>
      <c r="J743" s="98"/>
    </row>
    <row r="744" spans="2:10" ht="12.75" x14ac:dyDescent="0.2">
      <c r="B744" s="200"/>
      <c r="D744" s="98"/>
      <c r="E744" s="98"/>
      <c r="F744" s="98"/>
      <c r="G744" s="98"/>
      <c r="H744" s="98"/>
      <c r="I744" s="98"/>
      <c r="J744" s="98"/>
    </row>
    <row r="745" spans="2:10" ht="12.75" x14ac:dyDescent="0.2">
      <c r="B745" s="200"/>
      <c r="D745" s="98"/>
      <c r="E745" s="98"/>
      <c r="F745" s="98"/>
      <c r="G745" s="98"/>
      <c r="H745" s="98"/>
      <c r="I745" s="98"/>
      <c r="J745" s="98"/>
    </row>
    <row r="746" spans="2:10" ht="12.75" x14ac:dyDescent="0.2">
      <c r="B746" s="200"/>
      <c r="D746" s="98"/>
      <c r="E746" s="98"/>
      <c r="F746" s="98"/>
      <c r="G746" s="98"/>
      <c r="H746" s="98"/>
      <c r="I746" s="98"/>
      <c r="J746" s="98"/>
    </row>
    <row r="747" spans="2:10" ht="12.75" x14ac:dyDescent="0.2">
      <c r="B747" s="200"/>
      <c r="D747" s="98"/>
      <c r="E747" s="98"/>
      <c r="F747" s="98"/>
      <c r="G747" s="98"/>
      <c r="H747" s="98"/>
      <c r="I747" s="98"/>
      <c r="J747" s="98"/>
    </row>
    <row r="748" spans="2:10" ht="12.75" x14ac:dyDescent="0.2">
      <c r="B748" s="200"/>
      <c r="D748" s="98"/>
      <c r="E748" s="98"/>
      <c r="F748" s="98"/>
      <c r="G748" s="98"/>
      <c r="H748" s="98"/>
      <c r="I748" s="98"/>
      <c r="J748" s="98"/>
    </row>
    <row r="749" spans="2:10" ht="12.75" x14ac:dyDescent="0.2">
      <c r="B749" s="200"/>
      <c r="D749" s="98"/>
      <c r="E749" s="98"/>
      <c r="F749" s="98"/>
      <c r="G749" s="98"/>
      <c r="H749" s="98"/>
      <c r="I749" s="98"/>
      <c r="J749" s="98"/>
    </row>
    <row r="750" spans="2:10" ht="12.75" x14ac:dyDescent="0.2">
      <c r="B750" s="200"/>
      <c r="D750" s="98"/>
      <c r="E750" s="98"/>
      <c r="F750" s="98"/>
      <c r="G750" s="98"/>
      <c r="H750" s="98"/>
      <c r="I750" s="98"/>
      <c r="J750" s="98"/>
    </row>
    <row r="751" spans="2:10" ht="12.75" x14ac:dyDescent="0.2">
      <c r="B751" s="200"/>
      <c r="D751" s="98"/>
      <c r="E751" s="98"/>
      <c r="F751" s="98"/>
      <c r="G751" s="98"/>
      <c r="H751" s="98"/>
      <c r="I751" s="98"/>
      <c r="J751" s="98"/>
    </row>
    <row r="752" spans="2:10" ht="12.75" x14ac:dyDescent="0.2">
      <c r="B752" s="200"/>
      <c r="D752" s="98"/>
      <c r="E752" s="98"/>
      <c r="F752" s="98"/>
      <c r="G752" s="98"/>
      <c r="H752" s="98"/>
      <c r="I752" s="98"/>
      <c r="J752" s="98"/>
    </row>
    <row r="753" spans="2:10" ht="12.75" x14ac:dyDescent="0.2">
      <c r="B753" s="200"/>
      <c r="D753" s="98"/>
      <c r="E753" s="98"/>
      <c r="F753" s="98"/>
      <c r="G753" s="98"/>
      <c r="H753" s="98"/>
      <c r="I753" s="98"/>
      <c r="J753" s="98"/>
    </row>
    <row r="754" spans="2:10" ht="12.75" x14ac:dyDescent="0.2">
      <c r="B754" s="200"/>
      <c r="D754" s="98"/>
      <c r="E754" s="98"/>
      <c r="F754" s="98"/>
      <c r="G754" s="98"/>
      <c r="H754" s="98"/>
      <c r="I754" s="98"/>
      <c r="J754" s="98"/>
    </row>
    <row r="755" spans="2:10" ht="12.75" x14ac:dyDescent="0.2">
      <c r="B755" s="200"/>
      <c r="D755" s="98"/>
      <c r="E755" s="98"/>
      <c r="F755" s="98"/>
      <c r="G755" s="98"/>
      <c r="H755" s="98"/>
      <c r="I755" s="98"/>
      <c r="J755" s="98"/>
    </row>
    <row r="756" spans="2:10" ht="12.75" x14ac:dyDescent="0.2">
      <c r="B756" s="200"/>
      <c r="D756" s="98"/>
      <c r="E756" s="98"/>
      <c r="F756" s="98"/>
      <c r="G756" s="98"/>
      <c r="H756" s="98"/>
      <c r="I756" s="98"/>
      <c r="J756" s="98"/>
    </row>
    <row r="757" spans="2:10" ht="12.75" x14ac:dyDescent="0.2">
      <c r="B757" s="200"/>
      <c r="D757" s="98"/>
      <c r="E757" s="98"/>
      <c r="F757" s="98"/>
      <c r="G757" s="98"/>
      <c r="H757" s="98"/>
      <c r="I757" s="98"/>
      <c r="J757" s="98"/>
    </row>
    <row r="758" spans="2:10" ht="12.75" x14ac:dyDescent="0.2">
      <c r="B758" s="200"/>
      <c r="D758" s="98"/>
      <c r="E758" s="98"/>
      <c r="F758" s="98"/>
      <c r="G758" s="98"/>
      <c r="H758" s="98"/>
      <c r="I758" s="98"/>
      <c r="J758" s="98"/>
    </row>
    <row r="759" spans="2:10" ht="12.75" x14ac:dyDescent="0.2">
      <c r="B759" s="200"/>
      <c r="D759" s="98"/>
      <c r="E759" s="98"/>
      <c r="F759" s="98"/>
      <c r="G759" s="98"/>
      <c r="H759" s="98"/>
      <c r="I759" s="98"/>
      <c r="J759" s="98"/>
    </row>
    <row r="760" spans="2:10" ht="12.75" x14ac:dyDescent="0.2">
      <c r="B760" s="200"/>
      <c r="D760" s="98"/>
      <c r="E760" s="98"/>
      <c r="F760" s="98"/>
      <c r="G760" s="98"/>
      <c r="H760" s="98"/>
      <c r="I760" s="98"/>
      <c r="J760" s="98"/>
    </row>
    <row r="761" spans="2:10" ht="12.75" x14ac:dyDescent="0.2">
      <c r="B761" s="200"/>
      <c r="D761" s="98"/>
      <c r="E761" s="98"/>
      <c r="F761" s="98"/>
      <c r="G761" s="98"/>
      <c r="H761" s="98"/>
      <c r="I761" s="98"/>
      <c r="J761" s="98"/>
    </row>
    <row r="762" spans="2:10" ht="12.75" x14ac:dyDescent="0.2">
      <c r="B762" s="200"/>
      <c r="D762" s="98"/>
      <c r="E762" s="98"/>
      <c r="F762" s="98"/>
      <c r="G762" s="98"/>
      <c r="H762" s="98"/>
      <c r="I762" s="98"/>
      <c r="J762" s="98"/>
    </row>
    <row r="763" spans="2:10" ht="12.75" x14ac:dyDescent="0.2">
      <c r="B763" s="200"/>
      <c r="D763" s="98"/>
      <c r="E763" s="98"/>
      <c r="F763" s="98"/>
      <c r="G763" s="98"/>
      <c r="H763" s="98"/>
      <c r="I763" s="98"/>
      <c r="J763" s="98"/>
    </row>
    <row r="764" spans="2:10" ht="12.75" x14ac:dyDescent="0.2">
      <c r="B764" s="200"/>
      <c r="D764" s="98"/>
      <c r="E764" s="98"/>
      <c r="F764" s="98"/>
      <c r="G764" s="98"/>
      <c r="H764" s="98"/>
      <c r="I764" s="98"/>
      <c r="J764" s="98"/>
    </row>
    <row r="765" spans="2:10" ht="12.75" x14ac:dyDescent="0.2">
      <c r="B765" s="200"/>
      <c r="D765" s="98"/>
      <c r="E765" s="98"/>
      <c r="F765" s="98"/>
      <c r="G765" s="98"/>
      <c r="H765" s="98"/>
      <c r="I765" s="98"/>
      <c r="J765" s="98"/>
    </row>
    <row r="766" spans="2:10" ht="12.75" x14ac:dyDescent="0.2">
      <c r="B766" s="200"/>
      <c r="D766" s="98"/>
      <c r="E766" s="98"/>
      <c r="F766" s="98"/>
      <c r="G766" s="98"/>
      <c r="H766" s="98"/>
      <c r="I766" s="98"/>
      <c r="J766" s="98"/>
    </row>
    <row r="767" spans="2:10" ht="12.75" x14ac:dyDescent="0.2">
      <c r="B767" s="200"/>
      <c r="D767" s="98"/>
      <c r="E767" s="98"/>
      <c r="F767" s="98"/>
      <c r="G767" s="98"/>
      <c r="H767" s="98"/>
      <c r="I767" s="98"/>
      <c r="J767" s="98"/>
    </row>
    <row r="768" spans="2:10" ht="12.75" x14ac:dyDescent="0.2">
      <c r="B768" s="200"/>
      <c r="D768" s="98"/>
      <c r="E768" s="98"/>
      <c r="F768" s="98"/>
      <c r="G768" s="98"/>
      <c r="H768" s="98"/>
      <c r="I768" s="98"/>
      <c r="J768" s="98"/>
    </row>
    <row r="769" spans="2:10" ht="12.75" x14ac:dyDescent="0.2">
      <c r="B769" s="200"/>
      <c r="D769" s="98"/>
      <c r="E769" s="98"/>
      <c r="F769" s="98"/>
      <c r="G769" s="98"/>
      <c r="H769" s="98"/>
      <c r="I769" s="98"/>
      <c r="J769" s="98"/>
    </row>
    <row r="770" spans="2:10" ht="12.75" x14ac:dyDescent="0.2">
      <c r="B770" s="200"/>
      <c r="D770" s="98"/>
      <c r="E770" s="98"/>
      <c r="F770" s="98"/>
      <c r="G770" s="98"/>
      <c r="H770" s="98"/>
      <c r="I770" s="98"/>
      <c r="J770" s="98"/>
    </row>
    <row r="771" spans="2:10" ht="12.75" x14ac:dyDescent="0.2">
      <c r="B771" s="200"/>
      <c r="D771" s="98"/>
      <c r="E771" s="98"/>
      <c r="F771" s="98"/>
      <c r="G771" s="98"/>
      <c r="H771" s="98"/>
      <c r="I771" s="98"/>
      <c r="J771" s="98"/>
    </row>
    <row r="772" spans="2:10" ht="12.75" x14ac:dyDescent="0.2">
      <c r="B772" s="200"/>
      <c r="D772" s="98"/>
      <c r="E772" s="98"/>
      <c r="F772" s="98"/>
      <c r="G772" s="98"/>
      <c r="H772" s="98"/>
      <c r="I772" s="98"/>
      <c r="J772" s="98"/>
    </row>
    <row r="773" spans="2:10" ht="12.75" x14ac:dyDescent="0.2">
      <c r="B773" s="200"/>
      <c r="D773" s="98"/>
      <c r="E773" s="98"/>
      <c r="F773" s="98"/>
      <c r="G773" s="98"/>
      <c r="H773" s="98"/>
      <c r="I773" s="98"/>
      <c r="J773" s="98"/>
    </row>
    <row r="774" spans="2:10" ht="12.75" x14ac:dyDescent="0.2">
      <c r="B774" s="200"/>
      <c r="D774" s="98"/>
      <c r="E774" s="98"/>
      <c r="F774" s="98"/>
      <c r="G774" s="98"/>
      <c r="H774" s="98"/>
      <c r="I774" s="98"/>
      <c r="J774" s="98"/>
    </row>
    <row r="775" spans="2:10" ht="12.75" x14ac:dyDescent="0.2">
      <c r="B775" s="200"/>
      <c r="D775" s="98"/>
      <c r="E775" s="98"/>
      <c r="F775" s="98"/>
      <c r="G775" s="98"/>
      <c r="H775" s="98"/>
      <c r="I775" s="98"/>
      <c r="J775" s="98"/>
    </row>
    <row r="776" spans="2:10" ht="12.75" x14ac:dyDescent="0.2">
      <c r="B776" s="200"/>
      <c r="D776" s="98"/>
      <c r="E776" s="98"/>
      <c r="F776" s="98"/>
      <c r="G776" s="98"/>
      <c r="H776" s="98"/>
      <c r="I776" s="98"/>
      <c r="J776" s="98"/>
    </row>
    <row r="777" spans="2:10" ht="12.75" x14ac:dyDescent="0.2">
      <c r="B777" s="200"/>
      <c r="D777" s="98"/>
      <c r="E777" s="98"/>
      <c r="F777" s="98"/>
      <c r="G777" s="98"/>
      <c r="H777" s="98"/>
      <c r="I777" s="98"/>
      <c r="J777" s="98"/>
    </row>
    <row r="778" spans="2:10" ht="12.75" x14ac:dyDescent="0.2">
      <c r="B778" s="200"/>
      <c r="D778" s="98"/>
      <c r="E778" s="98"/>
      <c r="F778" s="98"/>
      <c r="G778" s="98"/>
      <c r="H778" s="98"/>
      <c r="I778" s="98"/>
      <c r="J778" s="98"/>
    </row>
    <row r="779" spans="2:10" ht="12.75" x14ac:dyDescent="0.2">
      <c r="B779" s="200"/>
      <c r="D779" s="98"/>
      <c r="E779" s="98"/>
      <c r="F779" s="98"/>
      <c r="G779" s="98"/>
      <c r="H779" s="98"/>
      <c r="I779" s="98"/>
      <c r="J779" s="98"/>
    </row>
    <row r="780" spans="2:10" ht="12.75" x14ac:dyDescent="0.2">
      <c r="B780" s="200"/>
      <c r="D780" s="98"/>
      <c r="E780" s="98"/>
      <c r="F780" s="98"/>
      <c r="G780" s="98"/>
      <c r="H780" s="98"/>
      <c r="I780" s="98"/>
      <c r="J780" s="98"/>
    </row>
    <row r="781" spans="2:10" ht="12.75" x14ac:dyDescent="0.2">
      <c r="B781" s="200"/>
      <c r="D781" s="98"/>
      <c r="E781" s="98"/>
      <c r="F781" s="98"/>
      <c r="G781" s="98"/>
      <c r="H781" s="98"/>
      <c r="I781" s="98"/>
      <c r="J781" s="98"/>
    </row>
    <row r="782" spans="2:10" ht="12.75" x14ac:dyDescent="0.2">
      <c r="B782" s="200"/>
      <c r="D782" s="98"/>
      <c r="E782" s="98"/>
      <c r="F782" s="98"/>
      <c r="G782" s="98"/>
      <c r="H782" s="98"/>
      <c r="I782" s="98"/>
      <c r="J782" s="98"/>
    </row>
    <row r="783" spans="2:10" ht="12.75" x14ac:dyDescent="0.2">
      <c r="B783" s="200"/>
      <c r="D783" s="98"/>
      <c r="E783" s="98"/>
      <c r="F783" s="98"/>
      <c r="G783" s="98"/>
      <c r="H783" s="98"/>
      <c r="I783" s="98"/>
      <c r="J783" s="98"/>
    </row>
    <row r="784" spans="2:10" ht="12.75" x14ac:dyDescent="0.2">
      <c r="B784" s="200"/>
      <c r="D784" s="98"/>
      <c r="E784" s="98"/>
      <c r="F784" s="98"/>
      <c r="G784" s="98"/>
      <c r="H784" s="98"/>
      <c r="I784" s="98"/>
      <c r="J784" s="98"/>
    </row>
    <row r="785" spans="2:10" ht="12.75" x14ac:dyDescent="0.2">
      <c r="B785" s="200"/>
      <c r="D785" s="98"/>
      <c r="E785" s="98"/>
      <c r="F785" s="98"/>
      <c r="G785" s="98"/>
      <c r="H785" s="98"/>
      <c r="I785" s="98"/>
      <c r="J785" s="98"/>
    </row>
    <row r="786" spans="2:10" ht="12.75" x14ac:dyDescent="0.2">
      <c r="B786" s="200"/>
      <c r="D786" s="98"/>
      <c r="E786" s="98"/>
      <c r="F786" s="98"/>
      <c r="G786" s="98"/>
      <c r="H786" s="98"/>
      <c r="I786" s="98"/>
      <c r="J786" s="98"/>
    </row>
    <row r="787" spans="2:10" ht="12.75" x14ac:dyDescent="0.2">
      <c r="B787" s="200"/>
      <c r="D787" s="98"/>
      <c r="E787" s="98"/>
      <c r="F787" s="98"/>
      <c r="G787" s="98"/>
      <c r="H787" s="98"/>
      <c r="I787" s="98"/>
      <c r="J787" s="98"/>
    </row>
    <row r="788" spans="2:10" ht="12.75" x14ac:dyDescent="0.2">
      <c r="B788" s="200"/>
      <c r="D788" s="98"/>
      <c r="E788" s="98"/>
      <c r="F788" s="98"/>
      <c r="G788" s="98"/>
      <c r="H788" s="98"/>
      <c r="I788" s="98"/>
      <c r="J788" s="98"/>
    </row>
    <row r="789" spans="2:10" ht="12.75" x14ac:dyDescent="0.2">
      <c r="B789" s="200"/>
      <c r="D789" s="98"/>
      <c r="E789" s="98"/>
      <c r="F789" s="98"/>
      <c r="G789" s="98"/>
      <c r="H789" s="98"/>
      <c r="I789" s="98"/>
      <c r="J789" s="98"/>
    </row>
    <row r="790" spans="2:10" ht="12.75" x14ac:dyDescent="0.2">
      <c r="B790" s="200"/>
      <c r="D790" s="98"/>
      <c r="E790" s="98"/>
      <c r="F790" s="98"/>
      <c r="G790" s="98"/>
      <c r="H790" s="98"/>
      <c r="I790" s="98"/>
      <c r="J790" s="98"/>
    </row>
    <row r="791" spans="2:10" ht="12.75" x14ac:dyDescent="0.2">
      <c r="B791" s="200"/>
      <c r="D791" s="98"/>
      <c r="E791" s="98"/>
      <c r="F791" s="98"/>
      <c r="G791" s="98"/>
      <c r="H791" s="98"/>
      <c r="I791" s="98"/>
      <c r="J791" s="98"/>
    </row>
    <row r="792" spans="2:10" ht="12.75" x14ac:dyDescent="0.2">
      <c r="B792" s="200"/>
      <c r="D792" s="98"/>
      <c r="E792" s="98"/>
      <c r="F792" s="98"/>
      <c r="G792" s="98"/>
      <c r="H792" s="98"/>
      <c r="I792" s="98"/>
      <c r="J792" s="98"/>
    </row>
    <row r="793" spans="2:10" ht="12.75" x14ac:dyDescent="0.2">
      <c r="B793" s="200"/>
      <c r="D793" s="98"/>
      <c r="E793" s="98"/>
      <c r="F793" s="98"/>
      <c r="G793" s="98"/>
      <c r="H793" s="98"/>
      <c r="I793" s="98"/>
      <c r="J793" s="98"/>
    </row>
    <row r="794" spans="2:10" ht="12.75" x14ac:dyDescent="0.2">
      <c r="B794" s="200"/>
      <c r="D794" s="98"/>
      <c r="E794" s="98"/>
      <c r="F794" s="98"/>
      <c r="G794" s="98"/>
      <c r="H794" s="98"/>
      <c r="I794" s="98"/>
      <c r="J794" s="98"/>
    </row>
    <row r="795" spans="2:10" ht="12.75" x14ac:dyDescent="0.2">
      <c r="B795" s="200"/>
      <c r="D795" s="98"/>
      <c r="E795" s="98"/>
      <c r="F795" s="98"/>
      <c r="G795" s="98"/>
      <c r="H795" s="98"/>
      <c r="I795" s="98"/>
      <c r="J795" s="98"/>
    </row>
    <row r="796" spans="2:10" ht="12.75" x14ac:dyDescent="0.2">
      <c r="B796" s="200"/>
      <c r="D796" s="98"/>
      <c r="E796" s="98"/>
      <c r="F796" s="98"/>
      <c r="G796" s="98"/>
      <c r="H796" s="98"/>
      <c r="I796" s="98"/>
      <c r="J796" s="98"/>
    </row>
    <row r="797" spans="2:10" ht="12.75" x14ac:dyDescent="0.2">
      <c r="B797" s="200"/>
      <c r="D797" s="98"/>
      <c r="E797" s="98"/>
      <c r="F797" s="98"/>
      <c r="G797" s="98"/>
      <c r="H797" s="98"/>
      <c r="I797" s="98"/>
      <c r="J797" s="98"/>
    </row>
    <row r="798" spans="2:10" ht="12.75" x14ac:dyDescent="0.2">
      <c r="B798" s="200"/>
      <c r="D798" s="98"/>
      <c r="E798" s="98"/>
      <c r="F798" s="98"/>
      <c r="G798" s="98"/>
      <c r="H798" s="98"/>
      <c r="I798" s="98"/>
      <c r="J798" s="98"/>
    </row>
    <row r="799" spans="2:10" ht="12.75" x14ac:dyDescent="0.2">
      <c r="B799" s="200"/>
      <c r="D799" s="98"/>
      <c r="E799" s="98"/>
      <c r="F799" s="98"/>
      <c r="G799" s="98"/>
      <c r="H799" s="98"/>
      <c r="I799" s="98"/>
      <c r="J799" s="98"/>
    </row>
    <row r="800" spans="2:10" ht="12.75" x14ac:dyDescent="0.2">
      <c r="B800" s="200"/>
      <c r="D800" s="98"/>
      <c r="E800" s="98"/>
      <c r="F800" s="98"/>
      <c r="G800" s="98"/>
      <c r="H800" s="98"/>
      <c r="I800" s="98"/>
      <c r="J800" s="98"/>
    </row>
    <row r="801" spans="2:10" ht="12.75" x14ac:dyDescent="0.2">
      <c r="B801" s="200"/>
      <c r="D801" s="98"/>
      <c r="E801" s="98"/>
      <c r="F801" s="98"/>
      <c r="G801" s="98"/>
      <c r="H801" s="98"/>
      <c r="I801" s="98"/>
      <c r="J801" s="98"/>
    </row>
    <row r="802" spans="2:10" ht="12.75" x14ac:dyDescent="0.2">
      <c r="B802" s="200"/>
      <c r="D802" s="98"/>
      <c r="E802" s="98"/>
      <c r="F802" s="98"/>
      <c r="G802" s="98"/>
      <c r="H802" s="98"/>
      <c r="I802" s="98"/>
      <c r="J802" s="98"/>
    </row>
    <row r="803" spans="2:10" ht="12.75" x14ac:dyDescent="0.2">
      <c r="B803" s="200"/>
      <c r="D803" s="98"/>
      <c r="E803" s="98"/>
      <c r="F803" s="98"/>
      <c r="G803" s="98"/>
      <c r="H803" s="98"/>
      <c r="I803" s="98"/>
      <c r="J803" s="98"/>
    </row>
    <row r="804" spans="2:10" ht="12.75" x14ac:dyDescent="0.2">
      <c r="B804" s="200"/>
      <c r="D804" s="98"/>
      <c r="E804" s="98"/>
      <c r="F804" s="98"/>
      <c r="G804" s="98"/>
      <c r="H804" s="98"/>
      <c r="I804" s="98"/>
      <c r="J804" s="98"/>
    </row>
    <row r="805" spans="2:10" ht="12.75" x14ac:dyDescent="0.2">
      <c r="B805" s="200"/>
      <c r="D805" s="98"/>
      <c r="E805" s="98"/>
      <c r="F805" s="98"/>
      <c r="G805" s="98"/>
      <c r="H805" s="98"/>
      <c r="I805" s="98"/>
      <c r="J805" s="98"/>
    </row>
    <row r="806" spans="2:10" ht="12.75" x14ac:dyDescent="0.2">
      <c r="B806" s="200"/>
      <c r="D806" s="98"/>
      <c r="E806" s="98"/>
      <c r="F806" s="98"/>
      <c r="G806" s="98"/>
      <c r="H806" s="98"/>
      <c r="I806" s="98"/>
      <c r="J806" s="98"/>
    </row>
    <row r="807" spans="2:10" ht="12.75" x14ac:dyDescent="0.2">
      <c r="B807" s="200"/>
      <c r="D807" s="98"/>
      <c r="E807" s="98"/>
      <c r="F807" s="98"/>
      <c r="G807" s="98"/>
      <c r="H807" s="98"/>
      <c r="I807" s="98"/>
      <c r="J807" s="98"/>
    </row>
    <row r="808" spans="2:10" ht="12.75" x14ac:dyDescent="0.2">
      <c r="B808" s="200"/>
      <c r="D808" s="98"/>
      <c r="E808" s="98"/>
      <c r="F808" s="98"/>
      <c r="G808" s="98"/>
      <c r="H808" s="98"/>
      <c r="I808" s="98"/>
      <c r="J808" s="98"/>
    </row>
    <row r="809" spans="2:10" ht="12.75" x14ac:dyDescent="0.2">
      <c r="B809" s="200"/>
      <c r="D809" s="98"/>
      <c r="E809" s="98"/>
      <c r="F809" s="98"/>
      <c r="G809" s="98"/>
      <c r="H809" s="98"/>
      <c r="I809" s="98"/>
      <c r="J809" s="98"/>
    </row>
    <row r="810" spans="2:10" ht="12.75" x14ac:dyDescent="0.2">
      <c r="B810" s="200"/>
      <c r="D810" s="98"/>
      <c r="E810" s="98"/>
      <c r="F810" s="98"/>
      <c r="G810" s="98"/>
      <c r="H810" s="98"/>
      <c r="I810" s="98"/>
      <c r="J810" s="98"/>
    </row>
    <row r="811" spans="2:10" ht="12.75" x14ac:dyDescent="0.2">
      <c r="B811" s="200"/>
      <c r="D811" s="98"/>
      <c r="E811" s="98"/>
      <c r="F811" s="98"/>
      <c r="G811" s="98"/>
      <c r="H811" s="98"/>
      <c r="I811" s="98"/>
      <c r="J811" s="98"/>
    </row>
    <row r="812" spans="2:10" ht="12.75" x14ac:dyDescent="0.2">
      <c r="B812" s="200"/>
      <c r="D812" s="98"/>
      <c r="E812" s="98"/>
      <c r="F812" s="98"/>
      <c r="G812" s="98"/>
      <c r="H812" s="98"/>
      <c r="I812" s="98"/>
      <c r="J812" s="98"/>
    </row>
    <row r="813" spans="2:10" ht="12.75" x14ac:dyDescent="0.2">
      <c r="B813" s="200"/>
      <c r="D813" s="98"/>
      <c r="E813" s="98"/>
      <c r="F813" s="98"/>
      <c r="G813" s="98"/>
      <c r="H813" s="98"/>
      <c r="I813" s="98"/>
      <c r="J813" s="98"/>
    </row>
    <row r="814" spans="2:10" ht="12.75" x14ac:dyDescent="0.2">
      <c r="B814" s="200"/>
      <c r="D814" s="98"/>
      <c r="E814" s="98"/>
      <c r="F814" s="98"/>
      <c r="G814" s="98"/>
      <c r="H814" s="98"/>
      <c r="I814" s="98"/>
      <c r="J814" s="98"/>
    </row>
    <row r="815" spans="2:10" ht="12.75" x14ac:dyDescent="0.2">
      <c r="B815" s="200"/>
      <c r="D815" s="98"/>
      <c r="E815" s="98"/>
      <c r="F815" s="98"/>
      <c r="G815" s="98"/>
      <c r="H815" s="98"/>
      <c r="I815" s="98"/>
      <c r="J815" s="98"/>
    </row>
    <row r="816" spans="2:10" ht="12.75" x14ac:dyDescent="0.2">
      <c r="B816" s="200"/>
      <c r="D816" s="98"/>
      <c r="E816" s="98"/>
      <c r="F816" s="98"/>
      <c r="G816" s="98"/>
      <c r="H816" s="98"/>
      <c r="I816" s="98"/>
      <c r="J816" s="98"/>
    </row>
    <row r="817" spans="2:10" ht="12.75" x14ac:dyDescent="0.2">
      <c r="B817" s="200"/>
      <c r="D817" s="98"/>
      <c r="E817" s="98"/>
      <c r="F817" s="98"/>
      <c r="G817" s="98"/>
      <c r="H817" s="98"/>
      <c r="I817" s="98"/>
      <c r="J817" s="98"/>
    </row>
    <row r="818" spans="2:10" ht="12.75" x14ac:dyDescent="0.2">
      <c r="B818" s="200"/>
      <c r="D818" s="98"/>
      <c r="E818" s="98"/>
      <c r="F818" s="98"/>
      <c r="G818" s="98"/>
      <c r="H818" s="98"/>
      <c r="I818" s="98"/>
      <c r="J818" s="98"/>
    </row>
    <row r="819" spans="2:10" ht="12.75" x14ac:dyDescent="0.2">
      <c r="B819" s="200"/>
      <c r="D819" s="98"/>
      <c r="E819" s="98"/>
      <c r="F819" s="98"/>
      <c r="G819" s="98"/>
      <c r="H819" s="98"/>
      <c r="I819" s="98"/>
      <c r="J819" s="98"/>
    </row>
    <row r="820" spans="2:10" ht="12.75" x14ac:dyDescent="0.2">
      <c r="B820" s="200"/>
      <c r="D820" s="98"/>
      <c r="E820" s="98"/>
      <c r="F820" s="98"/>
      <c r="G820" s="98"/>
      <c r="H820" s="98"/>
      <c r="I820" s="98"/>
      <c r="J820" s="98"/>
    </row>
    <row r="821" spans="2:10" ht="12.75" x14ac:dyDescent="0.2">
      <c r="B821" s="200"/>
      <c r="D821" s="98"/>
      <c r="E821" s="98"/>
      <c r="F821" s="98"/>
      <c r="G821" s="98"/>
      <c r="H821" s="98"/>
      <c r="I821" s="98"/>
      <c r="J821" s="98"/>
    </row>
    <row r="822" spans="2:10" ht="12.75" x14ac:dyDescent="0.2">
      <c r="B822" s="200"/>
      <c r="D822" s="98"/>
      <c r="E822" s="98"/>
      <c r="F822" s="98"/>
      <c r="G822" s="98"/>
      <c r="H822" s="98"/>
      <c r="I822" s="98"/>
      <c r="J822" s="98"/>
    </row>
    <row r="823" spans="2:10" ht="12.75" x14ac:dyDescent="0.2">
      <c r="B823" s="200"/>
      <c r="D823" s="98"/>
      <c r="E823" s="98"/>
      <c r="F823" s="98"/>
      <c r="G823" s="98"/>
      <c r="H823" s="98"/>
      <c r="I823" s="98"/>
      <c r="J823" s="98"/>
    </row>
    <row r="824" spans="2:10" ht="12.75" x14ac:dyDescent="0.2">
      <c r="B824" s="200"/>
      <c r="D824" s="98"/>
      <c r="E824" s="98"/>
      <c r="F824" s="98"/>
      <c r="G824" s="98"/>
      <c r="H824" s="98"/>
      <c r="I824" s="98"/>
      <c r="J824" s="98"/>
    </row>
    <row r="825" spans="2:10" ht="12.75" x14ac:dyDescent="0.2">
      <c r="B825" s="200"/>
      <c r="D825" s="98"/>
      <c r="E825" s="98"/>
      <c r="F825" s="98"/>
      <c r="G825" s="98"/>
      <c r="H825" s="98"/>
      <c r="I825" s="98"/>
      <c r="J825" s="98"/>
    </row>
    <row r="826" spans="2:10" ht="12.75" x14ac:dyDescent="0.2">
      <c r="B826" s="200"/>
      <c r="D826" s="98"/>
      <c r="E826" s="98"/>
      <c r="F826" s="98"/>
      <c r="G826" s="98"/>
      <c r="H826" s="98"/>
      <c r="I826" s="98"/>
      <c r="J826" s="98"/>
    </row>
    <row r="827" spans="2:10" ht="12.75" x14ac:dyDescent="0.2">
      <c r="B827" s="200"/>
      <c r="D827" s="98"/>
      <c r="E827" s="98"/>
      <c r="F827" s="98"/>
      <c r="G827" s="98"/>
      <c r="H827" s="98"/>
      <c r="I827" s="98"/>
      <c r="J827" s="98"/>
    </row>
    <row r="828" spans="2:10" ht="12.75" x14ac:dyDescent="0.2">
      <c r="B828" s="200"/>
      <c r="D828" s="98"/>
      <c r="E828" s="98"/>
      <c r="F828" s="98"/>
      <c r="G828" s="98"/>
      <c r="H828" s="98"/>
      <c r="I828" s="98"/>
      <c r="J828" s="98"/>
    </row>
    <row r="829" spans="2:10" ht="12.75" x14ac:dyDescent="0.2">
      <c r="B829" s="200"/>
      <c r="D829" s="98"/>
      <c r="E829" s="98"/>
      <c r="F829" s="98"/>
      <c r="G829" s="98"/>
      <c r="H829" s="98"/>
      <c r="I829" s="98"/>
      <c r="J829" s="98"/>
    </row>
    <row r="830" spans="2:10" ht="12.75" x14ac:dyDescent="0.2">
      <c r="B830" s="200"/>
      <c r="D830" s="98"/>
      <c r="E830" s="98"/>
      <c r="F830" s="98"/>
      <c r="G830" s="98"/>
      <c r="H830" s="98"/>
      <c r="I830" s="98"/>
      <c r="J830" s="98"/>
    </row>
    <row r="831" spans="2:10" ht="12.75" x14ac:dyDescent="0.2">
      <c r="B831" s="200"/>
      <c r="D831" s="98"/>
      <c r="E831" s="98"/>
      <c r="F831" s="98"/>
      <c r="G831" s="98"/>
      <c r="H831" s="98"/>
      <c r="I831" s="98"/>
      <c r="J831" s="98"/>
    </row>
    <row r="832" spans="2:10" ht="12.75" x14ac:dyDescent="0.2">
      <c r="B832" s="200"/>
      <c r="D832" s="98"/>
      <c r="E832" s="98"/>
      <c r="F832" s="98"/>
      <c r="G832" s="98"/>
      <c r="H832" s="98"/>
      <c r="I832" s="98"/>
      <c r="J832" s="98"/>
    </row>
    <row r="833" spans="2:10" ht="12.75" x14ac:dyDescent="0.2">
      <c r="B833" s="200"/>
      <c r="D833" s="98"/>
      <c r="E833" s="98"/>
      <c r="F833" s="98"/>
      <c r="G833" s="98"/>
      <c r="H833" s="98"/>
      <c r="I833" s="98"/>
      <c r="J833" s="98"/>
    </row>
    <row r="834" spans="2:10" ht="12.75" x14ac:dyDescent="0.2">
      <c r="B834" s="200"/>
      <c r="D834" s="98"/>
      <c r="E834" s="98"/>
      <c r="F834" s="98"/>
      <c r="G834" s="98"/>
      <c r="H834" s="98"/>
      <c r="I834" s="98"/>
      <c r="J834" s="98"/>
    </row>
    <row r="835" spans="2:10" ht="12.75" x14ac:dyDescent="0.2">
      <c r="B835" s="200"/>
      <c r="D835" s="98"/>
      <c r="E835" s="98"/>
      <c r="F835" s="98"/>
      <c r="G835" s="98"/>
      <c r="H835" s="98"/>
      <c r="I835" s="98"/>
      <c r="J835" s="98"/>
    </row>
    <row r="836" spans="2:10" ht="12.75" x14ac:dyDescent="0.2">
      <c r="B836" s="200"/>
      <c r="D836" s="98"/>
      <c r="E836" s="98"/>
      <c r="F836" s="98"/>
      <c r="G836" s="98"/>
      <c r="H836" s="98"/>
      <c r="I836" s="98"/>
      <c r="J836" s="98"/>
    </row>
    <row r="837" spans="2:10" ht="12.75" x14ac:dyDescent="0.2">
      <c r="B837" s="200"/>
      <c r="D837" s="98"/>
      <c r="E837" s="98"/>
      <c r="F837" s="98"/>
      <c r="G837" s="98"/>
      <c r="H837" s="98"/>
      <c r="I837" s="98"/>
      <c r="J837" s="98"/>
    </row>
    <row r="838" spans="2:10" ht="12.75" x14ac:dyDescent="0.2">
      <c r="B838" s="200"/>
      <c r="D838" s="98"/>
      <c r="E838" s="98"/>
      <c r="F838" s="98"/>
      <c r="G838" s="98"/>
      <c r="H838" s="98"/>
      <c r="I838" s="98"/>
      <c r="J838" s="98"/>
    </row>
    <row r="839" spans="2:10" ht="12.75" x14ac:dyDescent="0.2">
      <c r="B839" s="200"/>
      <c r="D839" s="98"/>
      <c r="E839" s="98"/>
      <c r="F839" s="98"/>
      <c r="G839" s="98"/>
      <c r="H839" s="98"/>
      <c r="I839" s="98"/>
      <c r="J839" s="98"/>
    </row>
    <row r="840" spans="2:10" ht="12.75" x14ac:dyDescent="0.2">
      <c r="B840" s="200"/>
      <c r="D840" s="98"/>
      <c r="E840" s="98"/>
      <c r="F840" s="98"/>
      <c r="G840" s="98"/>
      <c r="H840" s="98"/>
      <c r="I840" s="98"/>
      <c r="J840" s="98"/>
    </row>
    <row r="841" spans="2:10" ht="12.75" x14ac:dyDescent="0.2">
      <c r="B841" s="200"/>
      <c r="D841" s="98"/>
      <c r="E841" s="98"/>
      <c r="F841" s="98"/>
      <c r="G841" s="98"/>
      <c r="H841" s="98"/>
      <c r="I841" s="98"/>
      <c r="J841" s="98"/>
    </row>
    <row r="842" spans="2:10" ht="12.75" x14ac:dyDescent="0.2">
      <c r="B842" s="200"/>
      <c r="D842" s="98"/>
      <c r="E842" s="98"/>
      <c r="F842" s="98"/>
      <c r="G842" s="98"/>
      <c r="H842" s="98"/>
      <c r="I842" s="98"/>
      <c r="J842" s="98"/>
    </row>
    <row r="843" spans="2:10" ht="12.75" x14ac:dyDescent="0.2">
      <c r="B843" s="200"/>
      <c r="D843" s="98"/>
      <c r="E843" s="98"/>
      <c r="F843" s="98"/>
      <c r="G843" s="98"/>
      <c r="H843" s="98"/>
      <c r="I843" s="98"/>
      <c r="J843" s="98"/>
    </row>
    <row r="844" spans="2:10" ht="12.75" x14ac:dyDescent="0.2">
      <c r="B844" s="200"/>
      <c r="D844" s="98"/>
      <c r="E844" s="98"/>
      <c r="F844" s="98"/>
      <c r="G844" s="98"/>
      <c r="H844" s="98"/>
      <c r="I844" s="98"/>
      <c r="J844" s="98"/>
    </row>
    <row r="845" spans="2:10" ht="12.75" x14ac:dyDescent="0.2">
      <c r="B845" s="200"/>
      <c r="D845" s="98"/>
      <c r="E845" s="98"/>
      <c r="F845" s="98"/>
      <c r="G845" s="98"/>
      <c r="H845" s="98"/>
      <c r="I845" s="98"/>
      <c r="J845" s="98"/>
    </row>
    <row r="846" spans="2:10" ht="12.75" x14ac:dyDescent="0.2">
      <c r="B846" s="200"/>
      <c r="D846" s="98"/>
      <c r="E846" s="98"/>
      <c r="F846" s="98"/>
      <c r="G846" s="98"/>
      <c r="H846" s="98"/>
      <c r="I846" s="98"/>
      <c r="J846" s="98"/>
    </row>
    <row r="847" spans="2:10" ht="12.75" x14ac:dyDescent="0.2">
      <c r="B847" s="200"/>
      <c r="D847" s="98"/>
      <c r="E847" s="98"/>
      <c r="F847" s="98"/>
      <c r="G847" s="98"/>
      <c r="H847" s="98"/>
      <c r="I847" s="98"/>
      <c r="J847" s="98"/>
    </row>
    <row r="848" spans="2:10" ht="12.75" x14ac:dyDescent="0.2">
      <c r="B848" s="200"/>
      <c r="D848" s="98"/>
      <c r="E848" s="98"/>
      <c r="F848" s="98"/>
      <c r="G848" s="98"/>
      <c r="H848" s="98"/>
      <c r="I848" s="98"/>
      <c r="J848" s="98"/>
    </row>
    <row r="849" spans="2:10" ht="12.75" x14ac:dyDescent="0.2">
      <c r="B849" s="200"/>
      <c r="D849" s="98"/>
      <c r="E849" s="98"/>
      <c r="F849" s="98"/>
      <c r="G849" s="98"/>
      <c r="H849" s="98"/>
      <c r="I849" s="98"/>
      <c r="J849" s="98"/>
    </row>
    <row r="850" spans="2:10" ht="12.75" x14ac:dyDescent="0.2">
      <c r="B850" s="200"/>
      <c r="D850" s="98"/>
      <c r="E850" s="98"/>
      <c r="F850" s="98"/>
      <c r="G850" s="98"/>
      <c r="H850" s="98"/>
      <c r="I850" s="98"/>
      <c r="J850" s="98"/>
    </row>
    <row r="851" spans="2:10" ht="12.75" x14ac:dyDescent="0.2">
      <c r="B851" s="200"/>
      <c r="D851" s="98"/>
      <c r="E851" s="98"/>
      <c r="F851" s="98"/>
      <c r="G851" s="98"/>
      <c r="H851" s="98"/>
      <c r="I851" s="98"/>
      <c r="J851" s="98"/>
    </row>
    <row r="852" spans="2:10" ht="12.75" x14ac:dyDescent="0.2">
      <c r="B852" s="200"/>
      <c r="D852" s="98"/>
      <c r="E852" s="98"/>
      <c r="F852" s="98"/>
      <c r="G852" s="98"/>
      <c r="H852" s="98"/>
      <c r="I852" s="98"/>
      <c r="J852" s="98"/>
    </row>
    <row r="853" spans="2:10" ht="12.75" x14ac:dyDescent="0.2">
      <c r="B853" s="200"/>
      <c r="D853" s="98"/>
      <c r="E853" s="98"/>
      <c r="F853" s="98"/>
      <c r="G853" s="98"/>
      <c r="H853" s="98"/>
      <c r="I853" s="98"/>
      <c r="J853" s="98"/>
    </row>
    <row r="854" spans="2:10" ht="12.75" x14ac:dyDescent="0.2">
      <c r="B854" s="200"/>
      <c r="D854" s="98"/>
      <c r="E854" s="98"/>
      <c r="F854" s="98"/>
      <c r="G854" s="98"/>
      <c r="H854" s="98"/>
      <c r="I854" s="98"/>
      <c r="J854" s="98"/>
    </row>
    <row r="855" spans="2:10" ht="12.75" x14ac:dyDescent="0.2">
      <c r="B855" s="200"/>
      <c r="D855" s="98"/>
      <c r="E855" s="98"/>
      <c r="F855" s="98"/>
      <c r="G855" s="98"/>
      <c r="H855" s="98"/>
      <c r="I855" s="98"/>
      <c r="J855" s="98"/>
    </row>
    <row r="856" spans="2:10" ht="12.75" x14ac:dyDescent="0.2">
      <c r="B856" s="200"/>
      <c r="D856" s="98"/>
      <c r="E856" s="98"/>
      <c r="F856" s="98"/>
      <c r="G856" s="98"/>
      <c r="H856" s="98"/>
      <c r="I856" s="98"/>
      <c r="J856" s="98"/>
    </row>
    <row r="857" spans="2:10" ht="12.75" x14ac:dyDescent="0.2">
      <c r="B857" s="200"/>
      <c r="D857" s="98"/>
      <c r="E857" s="98"/>
      <c r="F857" s="98"/>
      <c r="G857" s="98"/>
      <c r="H857" s="98"/>
      <c r="I857" s="98"/>
      <c r="J857" s="98"/>
    </row>
    <row r="858" spans="2:10" ht="12.75" x14ac:dyDescent="0.2">
      <c r="B858" s="200"/>
      <c r="D858" s="98"/>
      <c r="E858" s="98"/>
      <c r="F858" s="98"/>
      <c r="G858" s="98"/>
      <c r="H858" s="98"/>
      <c r="I858" s="98"/>
      <c r="J858" s="98"/>
    </row>
    <row r="859" spans="2:10" ht="12.75" x14ac:dyDescent="0.2">
      <c r="B859" s="200"/>
      <c r="D859" s="98"/>
      <c r="E859" s="98"/>
      <c r="F859" s="98"/>
      <c r="G859" s="98"/>
      <c r="H859" s="98"/>
      <c r="I859" s="98"/>
      <c r="J859" s="98"/>
    </row>
    <row r="860" spans="2:10" ht="12.75" x14ac:dyDescent="0.2">
      <c r="B860" s="200"/>
      <c r="D860" s="98"/>
      <c r="E860" s="98"/>
      <c r="F860" s="98"/>
      <c r="G860" s="98"/>
      <c r="H860" s="98"/>
      <c r="I860" s="98"/>
      <c r="J860" s="98"/>
    </row>
    <row r="861" spans="2:10" ht="12.75" x14ac:dyDescent="0.2">
      <c r="B861" s="200"/>
      <c r="D861" s="98"/>
      <c r="E861" s="98"/>
      <c r="F861" s="98"/>
      <c r="G861" s="98"/>
      <c r="H861" s="98"/>
      <c r="I861" s="98"/>
      <c r="J861" s="98"/>
    </row>
    <row r="862" spans="2:10" ht="12.75" x14ac:dyDescent="0.2">
      <c r="B862" s="200"/>
      <c r="D862" s="98"/>
      <c r="E862" s="98"/>
      <c r="F862" s="98"/>
      <c r="G862" s="98"/>
      <c r="H862" s="98"/>
      <c r="I862" s="98"/>
      <c r="J862" s="98"/>
    </row>
    <row r="863" spans="2:10" ht="12.75" x14ac:dyDescent="0.2">
      <c r="B863" s="200"/>
      <c r="D863" s="98"/>
      <c r="E863" s="98"/>
      <c r="F863" s="98"/>
      <c r="G863" s="98"/>
      <c r="H863" s="98"/>
      <c r="I863" s="98"/>
      <c r="J863" s="98"/>
    </row>
    <row r="864" spans="2:10" ht="12.75" x14ac:dyDescent="0.2">
      <c r="B864" s="200"/>
      <c r="D864" s="98"/>
      <c r="E864" s="98"/>
      <c r="F864" s="98"/>
      <c r="G864" s="98"/>
      <c r="H864" s="98"/>
      <c r="I864" s="98"/>
      <c r="J864" s="98"/>
    </row>
    <row r="865" spans="2:10" ht="12.75" x14ac:dyDescent="0.2">
      <c r="B865" s="200"/>
      <c r="D865" s="98"/>
      <c r="E865" s="98"/>
      <c r="F865" s="98"/>
      <c r="G865" s="98"/>
      <c r="H865" s="98"/>
      <c r="I865" s="98"/>
      <c r="J865" s="98"/>
    </row>
    <row r="866" spans="2:10" ht="12.75" x14ac:dyDescent="0.2">
      <c r="B866" s="200"/>
      <c r="D866" s="98"/>
      <c r="E866" s="98"/>
      <c r="F866" s="98"/>
      <c r="G866" s="98"/>
      <c r="H866" s="98"/>
      <c r="I866" s="98"/>
      <c r="J866" s="98"/>
    </row>
    <row r="867" spans="2:10" ht="12.75" x14ac:dyDescent="0.2">
      <c r="B867" s="200"/>
      <c r="D867" s="98"/>
      <c r="E867" s="98"/>
      <c r="F867" s="98"/>
      <c r="G867" s="98"/>
      <c r="H867" s="98"/>
      <c r="I867" s="98"/>
      <c r="J867" s="98"/>
    </row>
    <row r="868" spans="2:10" ht="12.75" x14ac:dyDescent="0.2">
      <c r="B868" s="200"/>
      <c r="D868" s="98"/>
      <c r="E868" s="98"/>
      <c r="F868" s="98"/>
      <c r="G868" s="98"/>
      <c r="H868" s="98"/>
      <c r="I868" s="98"/>
      <c r="J868" s="98"/>
    </row>
    <row r="869" spans="2:10" ht="12.75" x14ac:dyDescent="0.2">
      <c r="B869" s="200"/>
      <c r="D869" s="98"/>
      <c r="E869" s="98"/>
      <c r="F869" s="98"/>
      <c r="G869" s="98"/>
      <c r="H869" s="98"/>
      <c r="I869" s="98"/>
      <c r="J869" s="98"/>
    </row>
    <row r="870" spans="2:10" ht="12.75" x14ac:dyDescent="0.2">
      <c r="B870" s="200"/>
      <c r="D870" s="98"/>
      <c r="E870" s="98"/>
      <c r="F870" s="98"/>
      <c r="G870" s="98"/>
      <c r="H870" s="98"/>
      <c r="I870" s="98"/>
      <c r="J870" s="98"/>
    </row>
    <row r="871" spans="2:10" ht="12.75" x14ac:dyDescent="0.2">
      <c r="B871" s="200"/>
      <c r="D871" s="98"/>
      <c r="E871" s="98"/>
      <c r="F871" s="98"/>
      <c r="G871" s="98"/>
      <c r="H871" s="98"/>
      <c r="I871" s="98"/>
      <c r="J871" s="98"/>
    </row>
    <row r="872" spans="2:10" ht="12.75" x14ac:dyDescent="0.2">
      <c r="B872" s="200"/>
      <c r="D872" s="98"/>
      <c r="E872" s="98"/>
      <c r="F872" s="98"/>
      <c r="G872" s="98"/>
      <c r="H872" s="98"/>
      <c r="I872" s="98"/>
      <c r="J872" s="98"/>
    </row>
    <row r="873" spans="2:10" ht="12.75" x14ac:dyDescent="0.2">
      <c r="B873" s="200"/>
      <c r="D873" s="98"/>
      <c r="E873" s="98"/>
      <c r="F873" s="98"/>
      <c r="G873" s="98"/>
      <c r="H873" s="98"/>
      <c r="I873" s="98"/>
      <c r="J873" s="98"/>
    </row>
    <row r="874" spans="2:10" ht="12.75" x14ac:dyDescent="0.2">
      <c r="B874" s="200"/>
      <c r="D874" s="98"/>
      <c r="E874" s="98"/>
      <c r="F874" s="98"/>
      <c r="G874" s="98"/>
      <c r="H874" s="98"/>
      <c r="I874" s="98"/>
      <c r="J874" s="98"/>
    </row>
    <row r="875" spans="2:10" ht="12.75" x14ac:dyDescent="0.2">
      <c r="B875" s="200"/>
      <c r="D875" s="98"/>
      <c r="E875" s="98"/>
      <c r="F875" s="98"/>
      <c r="G875" s="98"/>
      <c r="H875" s="98"/>
      <c r="I875" s="98"/>
      <c r="J875" s="98"/>
    </row>
    <row r="876" spans="2:10" ht="12.75" x14ac:dyDescent="0.2">
      <c r="B876" s="200"/>
      <c r="D876" s="98"/>
      <c r="E876" s="98"/>
      <c r="F876" s="98"/>
      <c r="G876" s="98"/>
      <c r="H876" s="98"/>
      <c r="I876" s="98"/>
      <c r="J876" s="98"/>
    </row>
    <row r="877" spans="2:10" ht="12.75" x14ac:dyDescent="0.2">
      <c r="B877" s="200"/>
      <c r="D877" s="98"/>
      <c r="E877" s="98"/>
      <c r="F877" s="98"/>
      <c r="G877" s="98"/>
      <c r="H877" s="98"/>
      <c r="I877" s="98"/>
      <c r="J877" s="98"/>
    </row>
    <row r="878" spans="2:10" ht="12.75" x14ac:dyDescent="0.2">
      <c r="B878" s="200"/>
      <c r="D878" s="98"/>
      <c r="E878" s="98"/>
      <c r="F878" s="98"/>
      <c r="G878" s="98"/>
      <c r="H878" s="98"/>
      <c r="I878" s="98"/>
      <c r="J878" s="98"/>
    </row>
    <row r="879" spans="2:10" ht="12.75" x14ac:dyDescent="0.2">
      <c r="B879" s="200"/>
      <c r="D879" s="98"/>
      <c r="E879" s="98"/>
      <c r="F879" s="98"/>
      <c r="G879" s="98"/>
      <c r="H879" s="98"/>
      <c r="I879" s="98"/>
      <c r="J879" s="98"/>
    </row>
    <row r="880" spans="2:10" ht="12.75" x14ac:dyDescent="0.2">
      <c r="B880" s="200"/>
      <c r="D880" s="98"/>
      <c r="E880" s="98"/>
      <c r="F880" s="98"/>
      <c r="G880" s="98"/>
      <c r="H880" s="98"/>
      <c r="I880" s="98"/>
      <c r="J880" s="98"/>
    </row>
    <row r="881" spans="2:10" ht="12.75" x14ac:dyDescent="0.2">
      <c r="B881" s="200"/>
      <c r="D881" s="98"/>
      <c r="E881" s="98"/>
      <c r="F881" s="98"/>
      <c r="G881" s="98"/>
      <c r="H881" s="98"/>
      <c r="I881" s="98"/>
      <c r="J881" s="98"/>
    </row>
    <row r="882" spans="2:10" ht="12.75" x14ac:dyDescent="0.2">
      <c r="B882" s="200"/>
      <c r="D882" s="98"/>
      <c r="E882" s="98"/>
      <c r="F882" s="98"/>
      <c r="G882" s="98"/>
      <c r="H882" s="98"/>
      <c r="I882" s="98"/>
      <c r="J882" s="98"/>
    </row>
    <row r="883" spans="2:10" ht="12.75" x14ac:dyDescent="0.2">
      <c r="B883" s="200"/>
      <c r="D883" s="98"/>
      <c r="E883" s="98"/>
      <c r="F883" s="98"/>
      <c r="G883" s="98"/>
      <c r="H883" s="98"/>
      <c r="I883" s="98"/>
      <c r="J883" s="98"/>
    </row>
    <row r="884" spans="2:10" ht="12.75" x14ac:dyDescent="0.2">
      <c r="B884" s="200"/>
      <c r="D884" s="98"/>
      <c r="E884" s="98"/>
      <c r="F884" s="98"/>
      <c r="G884" s="98"/>
      <c r="H884" s="98"/>
      <c r="I884" s="98"/>
      <c r="J884" s="98"/>
    </row>
    <row r="885" spans="2:10" ht="12.75" x14ac:dyDescent="0.2">
      <c r="B885" s="200"/>
      <c r="D885" s="98"/>
      <c r="E885" s="98"/>
      <c r="F885" s="98"/>
      <c r="G885" s="98"/>
      <c r="H885" s="98"/>
      <c r="I885" s="98"/>
      <c r="J885" s="98"/>
    </row>
    <row r="886" spans="2:10" ht="12.75" x14ac:dyDescent="0.2">
      <c r="B886" s="200"/>
      <c r="D886" s="98"/>
      <c r="E886" s="98"/>
      <c r="F886" s="98"/>
      <c r="G886" s="98"/>
      <c r="H886" s="98"/>
      <c r="I886" s="98"/>
      <c r="J886" s="98"/>
    </row>
    <row r="887" spans="2:10" ht="12.75" x14ac:dyDescent="0.2">
      <c r="B887" s="200"/>
      <c r="D887" s="98"/>
      <c r="E887" s="98"/>
      <c r="F887" s="98"/>
      <c r="G887" s="98"/>
      <c r="H887" s="98"/>
      <c r="I887" s="98"/>
      <c r="J887" s="98"/>
    </row>
    <row r="888" spans="2:10" ht="12.75" x14ac:dyDescent="0.2">
      <c r="B888" s="200"/>
      <c r="D888" s="98"/>
      <c r="E888" s="98"/>
      <c r="F888" s="98"/>
      <c r="G888" s="98"/>
      <c r="H888" s="98"/>
      <c r="I888" s="98"/>
      <c r="J888" s="98"/>
    </row>
    <row r="889" spans="2:10" ht="12.75" x14ac:dyDescent="0.2">
      <c r="B889" s="200"/>
      <c r="D889" s="98"/>
      <c r="E889" s="98"/>
      <c r="F889" s="98"/>
      <c r="G889" s="98"/>
      <c r="H889" s="98"/>
      <c r="I889" s="98"/>
      <c r="J889" s="98"/>
    </row>
    <row r="890" spans="2:10" ht="12.75" x14ac:dyDescent="0.2">
      <c r="B890" s="200"/>
      <c r="D890" s="98"/>
      <c r="E890" s="98"/>
      <c r="F890" s="98"/>
      <c r="G890" s="98"/>
      <c r="H890" s="98"/>
      <c r="I890" s="98"/>
      <c r="J890" s="98"/>
    </row>
    <row r="891" spans="2:10" ht="12.75" x14ac:dyDescent="0.2">
      <c r="B891" s="200"/>
      <c r="D891" s="98"/>
      <c r="E891" s="98"/>
      <c r="F891" s="98"/>
      <c r="G891" s="98"/>
      <c r="H891" s="98"/>
      <c r="I891" s="98"/>
      <c r="J891" s="98"/>
    </row>
    <row r="892" spans="2:10" ht="12.75" x14ac:dyDescent="0.2">
      <c r="B892" s="200"/>
      <c r="D892" s="98"/>
      <c r="E892" s="98"/>
      <c r="F892" s="98"/>
      <c r="G892" s="98"/>
      <c r="H892" s="98"/>
      <c r="I892" s="98"/>
      <c r="J892" s="98"/>
    </row>
    <row r="893" spans="2:10" ht="12.75" x14ac:dyDescent="0.2">
      <c r="B893" s="200"/>
      <c r="D893" s="98"/>
      <c r="E893" s="98"/>
      <c r="F893" s="98"/>
      <c r="G893" s="98"/>
      <c r="H893" s="98"/>
      <c r="I893" s="98"/>
      <c r="J893" s="98"/>
    </row>
    <row r="894" spans="2:10" ht="12.75" x14ac:dyDescent="0.2">
      <c r="B894" s="200"/>
      <c r="D894" s="98"/>
      <c r="E894" s="98"/>
      <c r="F894" s="98"/>
      <c r="G894" s="98"/>
      <c r="H894" s="98"/>
      <c r="I894" s="98"/>
      <c r="J894" s="98"/>
    </row>
    <row r="895" spans="2:10" ht="12.75" x14ac:dyDescent="0.2">
      <c r="B895" s="200"/>
      <c r="D895" s="98"/>
      <c r="E895" s="98"/>
      <c r="F895" s="98"/>
      <c r="G895" s="98"/>
      <c r="H895" s="98"/>
      <c r="I895" s="98"/>
      <c r="J895" s="98"/>
    </row>
    <row r="896" spans="2:10" ht="12.75" x14ac:dyDescent="0.2">
      <c r="B896" s="200"/>
      <c r="D896" s="98"/>
      <c r="E896" s="98"/>
      <c r="F896" s="98"/>
      <c r="G896" s="98"/>
      <c r="H896" s="98"/>
      <c r="I896" s="98"/>
      <c r="J896" s="98"/>
    </row>
    <row r="897" spans="2:10" ht="12.75" x14ac:dyDescent="0.2">
      <c r="B897" s="200"/>
      <c r="D897" s="98"/>
      <c r="E897" s="98"/>
      <c r="F897" s="98"/>
      <c r="G897" s="98"/>
      <c r="H897" s="98"/>
      <c r="I897" s="98"/>
      <c r="J897" s="98"/>
    </row>
    <row r="898" spans="2:10" ht="12.75" x14ac:dyDescent="0.2">
      <c r="B898" s="200"/>
      <c r="D898" s="98"/>
      <c r="E898" s="98"/>
      <c r="F898" s="98"/>
      <c r="G898" s="98"/>
      <c r="H898" s="98"/>
      <c r="I898" s="98"/>
      <c r="J898" s="98"/>
    </row>
    <row r="899" spans="2:10" ht="12.75" x14ac:dyDescent="0.2">
      <c r="B899" s="200"/>
      <c r="D899" s="98"/>
      <c r="E899" s="98"/>
      <c r="F899" s="98"/>
      <c r="G899" s="98"/>
      <c r="H899" s="98"/>
      <c r="I899" s="98"/>
      <c r="J899" s="98"/>
    </row>
    <row r="900" spans="2:10" ht="12.75" x14ac:dyDescent="0.2">
      <c r="B900" s="200"/>
      <c r="D900" s="98"/>
      <c r="E900" s="98"/>
      <c r="F900" s="98"/>
      <c r="G900" s="98"/>
      <c r="H900" s="98"/>
      <c r="I900" s="98"/>
      <c r="J900" s="98"/>
    </row>
    <row r="901" spans="2:10" ht="12.75" x14ac:dyDescent="0.2">
      <c r="B901" s="200"/>
      <c r="D901" s="98"/>
      <c r="E901" s="98"/>
      <c r="F901" s="98"/>
      <c r="G901" s="98"/>
      <c r="H901" s="98"/>
      <c r="I901" s="98"/>
      <c r="J901" s="98"/>
    </row>
    <row r="902" spans="2:10" ht="12.75" x14ac:dyDescent="0.2">
      <c r="B902" s="200"/>
      <c r="D902" s="98"/>
      <c r="E902" s="98"/>
      <c r="F902" s="98"/>
      <c r="G902" s="98"/>
      <c r="H902" s="98"/>
      <c r="I902" s="98"/>
      <c r="J902" s="98"/>
    </row>
    <row r="903" spans="2:10" ht="12.75" x14ac:dyDescent="0.2">
      <c r="B903" s="200"/>
      <c r="D903" s="98"/>
      <c r="E903" s="98"/>
      <c r="F903" s="98"/>
      <c r="G903" s="98"/>
      <c r="H903" s="98"/>
      <c r="I903" s="98"/>
      <c r="J903" s="98"/>
    </row>
    <row r="904" spans="2:10" ht="12.75" x14ac:dyDescent="0.2">
      <c r="B904" s="200"/>
      <c r="D904" s="98"/>
      <c r="E904" s="98"/>
      <c r="F904" s="98"/>
      <c r="G904" s="98"/>
      <c r="H904" s="98"/>
      <c r="I904" s="98"/>
      <c r="J904" s="98"/>
    </row>
    <row r="905" spans="2:10" ht="12.75" x14ac:dyDescent="0.2">
      <c r="B905" s="200"/>
      <c r="D905" s="98"/>
      <c r="E905" s="98"/>
      <c r="F905" s="98"/>
      <c r="G905" s="98"/>
      <c r="H905" s="98"/>
      <c r="I905" s="98"/>
      <c r="J905" s="98"/>
    </row>
    <row r="906" spans="2:10" ht="12.75" x14ac:dyDescent="0.2">
      <c r="B906" s="200"/>
      <c r="D906" s="98"/>
      <c r="E906" s="98"/>
      <c r="F906" s="98"/>
      <c r="G906" s="98"/>
      <c r="H906" s="98"/>
      <c r="I906" s="98"/>
      <c r="J906" s="98"/>
    </row>
    <row r="907" spans="2:10" ht="12.75" x14ac:dyDescent="0.2">
      <c r="B907" s="200"/>
      <c r="D907" s="98"/>
      <c r="E907" s="98"/>
      <c r="F907" s="98"/>
      <c r="G907" s="98"/>
      <c r="H907" s="98"/>
      <c r="I907" s="98"/>
      <c r="J907" s="98"/>
    </row>
    <row r="908" spans="2:10" ht="12.75" x14ac:dyDescent="0.2">
      <c r="B908" s="200"/>
      <c r="D908" s="98"/>
      <c r="E908" s="98"/>
      <c r="F908" s="98"/>
      <c r="G908" s="98"/>
      <c r="H908" s="98"/>
      <c r="I908" s="98"/>
      <c r="J908" s="98"/>
    </row>
    <row r="909" spans="2:10" ht="12.75" x14ac:dyDescent="0.2">
      <c r="B909" s="200"/>
      <c r="D909" s="98"/>
      <c r="E909" s="98"/>
      <c r="F909" s="98"/>
      <c r="G909" s="98"/>
      <c r="H909" s="98"/>
      <c r="I909" s="98"/>
      <c r="J909" s="98"/>
    </row>
    <row r="910" spans="2:10" ht="12.75" x14ac:dyDescent="0.2">
      <c r="B910" s="200"/>
      <c r="D910" s="98"/>
      <c r="E910" s="98"/>
      <c r="F910" s="98"/>
      <c r="G910" s="98"/>
      <c r="H910" s="98"/>
      <c r="I910" s="98"/>
      <c r="J910" s="98"/>
    </row>
    <row r="911" spans="2:10" ht="12.75" x14ac:dyDescent="0.2">
      <c r="B911" s="200"/>
      <c r="D911" s="98"/>
      <c r="E911" s="98"/>
      <c r="F911" s="98"/>
      <c r="G911" s="98"/>
      <c r="H911" s="98"/>
      <c r="I911" s="98"/>
      <c r="J911" s="98"/>
    </row>
    <row r="912" spans="2:10" ht="12.75" x14ac:dyDescent="0.2">
      <c r="B912" s="200"/>
      <c r="D912" s="98"/>
      <c r="E912" s="98"/>
      <c r="F912" s="98"/>
      <c r="G912" s="98"/>
      <c r="H912" s="98"/>
      <c r="I912" s="98"/>
      <c r="J912" s="98"/>
    </row>
    <row r="913" spans="2:10" ht="12.75" x14ac:dyDescent="0.2">
      <c r="B913" s="200"/>
      <c r="D913" s="98"/>
      <c r="E913" s="98"/>
      <c r="F913" s="98"/>
      <c r="G913" s="98"/>
      <c r="H913" s="98"/>
      <c r="I913" s="98"/>
      <c r="J913" s="98"/>
    </row>
    <row r="914" spans="2:10" ht="12.75" x14ac:dyDescent="0.2">
      <c r="B914" s="200"/>
      <c r="D914" s="98"/>
      <c r="E914" s="98"/>
      <c r="F914" s="98"/>
      <c r="G914" s="98"/>
      <c r="H914" s="98"/>
      <c r="I914" s="98"/>
      <c r="J914" s="98"/>
    </row>
    <row r="915" spans="2:10" ht="12.75" x14ac:dyDescent="0.2">
      <c r="B915" s="200"/>
      <c r="D915" s="98"/>
      <c r="E915" s="98"/>
      <c r="F915" s="98"/>
      <c r="G915" s="98"/>
      <c r="H915" s="98"/>
      <c r="I915" s="98"/>
      <c r="J915" s="98"/>
    </row>
    <row r="916" spans="2:10" ht="12.75" x14ac:dyDescent="0.2">
      <c r="B916" s="200"/>
      <c r="D916" s="98"/>
      <c r="E916" s="98"/>
      <c r="F916" s="98"/>
      <c r="G916" s="98"/>
      <c r="H916" s="98"/>
      <c r="I916" s="98"/>
      <c r="J916" s="98"/>
    </row>
    <row r="917" spans="2:10" ht="12.75" x14ac:dyDescent="0.2">
      <c r="B917" s="200"/>
      <c r="D917" s="98"/>
      <c r="E917" s="98"/>
      <c r="F917" s="98"/>
      <c r="G917" s="98"/>
      <c r="H917" s="98"/>
      <c r="I917" s="98"/>
      <c r="J917" s="98"/>
    </row>
    <row r="918" spans="2:10" ht="12.75" x14ac:dyDescent="0.2">
      <c r="B918" s="200"/>
      <c r="D918" s="98"/>
      <c r="E918" s="98"/>
      <c r="F918" s="98"/>
      <c r="G918" s="98"/>
      <c r="H918" s="98"/>
      <c r="I918" s="98"/>
      <c r="J918" s="98"/>
    </row>
    <row r="919" spans="2:10" ht="12.75" x14ac:dyDescent="0.2">
      <c r="B919" s="200"/>
      <c r="D919" s="98"/>
      <c r="E919" s="98"/>
      <c r="F919" s="98"/>
      <c r="G919" s="98"/>
      <c r="H919" s="98"/>
      <c r="I919" s="98"/>
      <c r="J919" s="98"/>
    </row>
    <row r="920" spans="2:10" ht="12.75" x14ac:dyDescent="0.2">
      <c r="B920" s="200"/>
      <c r="D920" s="98"/>
      <c r="E920" s="98"/>
      <c r="F920" s="98"/>
      <c r="G920" s="98"/>
      <c r="H920" s="98"/>
      <c r="I920" s="98"/>
      <c r="J920" s="98"/>
    </row>
    <row r="921" spans="2:10" ht="12.75" x14ac:dyDescent="0.2">
      <c r="B921" s="200"/>
      <c r="D921" s="98"/>
      <c r="E921" s="98"/>
      <c r="F921" s="98"/>
      <c r="G921" s="98"/>
      <c r="H921" s="98"/>
      <c r="I921" s="98"/>
      <c r="J921" s="98"/>
    </row>
    <row r="922" spans="2:10" ht="12.75" x14ac:dyDescent="0.2">
      <c r="B922" s="200"/>
      <c r="D922" s="98"/>
      <c r="E922" s="98"/>
      <c r="F922" s="98"/>
      <c r="G922" s="98"/>
      <c r="H922" s="98"/>
      <c r="I922" s="98"/>
      <c r="J922" s="98"/>
    </row>
    <row r="923" spans="2:10" ht="12.75" x14ac:dyDescent="0.2">
      <c r="B923" s="200"/>
      <c r="D923" s="98"/>
      <c r="E923" s="98"/>
      <c r="F923" s="98"/>
      <c r="G923" s="98"/>
      <c r="H923" s="98"/>
      <c r="I923" s="98"/>
      <c r="J923" s="98"/>
    </row>
    <row r="924" spans="2:10" ht="12.75" x14ac:dyDescent="0.2">
      <c r="B924" s="200"/>
      <c r="D924" s="98"/>
      <c r="E924" s="98"/>
      <c r="F924" s="98"/>
      <c r="G924" s="98"/>
      <c r="H924" s="98"/>
      <c r="I924" s="98"/>
      <c r="J924" s="98"/>
    </row>
    <row r="925" spans="2:10" ht="12.75" x14ac:dyDescent="0.2">
      <c r="B925" s="200"/>
      <c r="D925" s="98"/>
      <c r="E925" s="98"/>
      <c r="F925" s="98"/>
      <c r="G925" s="98"/>
      <c r="H925" s="98"/>
      <c r="I925" s="98"/>
      <c r="J925" s="98"/>
    </row>
    <row r="926" spans="2:10" ht="12.75" x14ac:dyDescent="0.2">
      <c r="B926" s="200"/>
      <c r="D926" s="98"/>
      <c r="E926" s="98"/>
      <c r="F926" s="98"/>
      <c r="G926" s="98"/>
      <c r="H926" s="98"/>
      <c r="I926" s="98"/>
      <c r="J926" s="98"/>
    </row>
    <row r="927" spans="2:10" ht="12.75" x14ac:dyDescent="0.2">
      <c r="B927" s="200"/>
      <c r="D927" s="98"/>
      <c r="E927" s="98"/>
      <c r="F927" s="98"/>
      <c r="G927" s="98"/>
      <c r="H927" s="98"/>
      <c r="I927" s="98"/>
      <c r="J927" s="98"/>
    </row>
    <row r="928" spans="2:10" ht="12.75" x14ac:dyDescent="0.2">
      <c r="B928" s="200"/>
      <c r="D928" s="98"/>
      <c r="E928" s="98"/>
      <c r="F928" s="98"/>
      <c r="G928" s="98"/>
      <c r="H928" s="98"/>
      <c r="I928" s="98"/>
      <c r="J928" s="98"/>
    </row>
    <row r="929" spans="2:10" ht="12.75" x14ac:dyDescent="0.2">
      <c r="B929" s="200"/>
      <c r="D929" s="98"/>
      <c r="E929" s="98"/>
      <c r="F929" s="98"/>
      <c r="G929" s="98"/>
      <c r="H929" s="98"/>
      <c r="I929" s="98"/>
      <c r="J929" s="98"/>
    </row>
    <row r="930" spans="2:10" ht="12.75" x14ac:dyDescent="0.2">
      <c r="B930" s="200"/>
      <c r="D930" s="98"/>
      <c r="E930" s="98"/>
      <c r="F930" s="98"/>
      <c r="G930" s="98"/>
      <c r="H930" s="98"/>
      <c r="I930" s="98"/>
      <c r="J930" s="98"/>
    </row>
    <row r="931" spans="2:10" ht="12.75" x14ac:dyDescent="0.2">
      <c r="B931" s="200"/>
      <c r="D931" s="98"/>
      <c r="E931" s="98"/>
      <c r="F931" s="98"/>
      <c r="G931" s="98"/>
      <c r="H931" s="98"/>
      <c r="I931" s="98"/>
      <c r="J931" s="98"/>
    </row>
    <row r="932" spans="2:10" ht="12.75" x14ac:dyDescent="0.2">
      <c r="B932" s="200"/>
      <c r="D932" s="98"/>
      <c r="E932" s="98"/>
      <c r="F932" s="98"/>
      <c r="G932" s="98"/>
      <c r="H932" s="98"/>
      <c r="I932" s="98"/>
      <c r="J932" s="98"/>
    </row>
    <row r="933" spans="2:10" ht="12.75" x14ac:dyDescent="0.2">
      <c r="B933" s="200"/>
      <c r="D933" s="98"/>
      <c r="E933" s="98"/>
      <c r="F933" s="98"/>
      <c r="G933" s="98"/>
      <c r="H933" s="98"/>
      <c r="I933" s="98"/>
      <c r="J933" s="98"/>
    </row>
    <row r="934" spans="2:10" ht="12.75" x14ac:dyDescent="0.2">
      <c r="B934" s="200"/>
      <c r="D934" s="98"/>
      <c r="E934" s="98"/>
      <c r="F934" s="98"/>
      <c r="G934" s="98"/>
      <c r="H934" s="98"/>
      <c r="I934" s="98"/>
      <c r="J934" s="98"/>
    </row>
    <row r="935" spans="2:10" ht="12.75" x14ac:dyDescent="0.2">
      <c r="B935" s="200"/>
      <c r="D935" s="98"/>
      <c r="E935" s="98"/>
      <c r="F935" s="98"/>
      <c r="G935" s="98"/>
      <c r="H935" s="98"/>
      <c r="I935" s="98"/>
      <c r="J935" s="98"/>
    </row>
    <row r="936" spans="2:10" ht="12.75" x14ac:dyDescent="0.2">
      <c r="B936" s="200"/>
      <c r="D936" s="98"/>
      <c r="E936" s="98"/>
      <c r="F936" s="98"/>
      <c r="G936" s="98"/>
      <c r="H936" s="98"/>
      <c r="I936" s="98"/>
      <c r="J936" s="98"/>
    </row>
    <row r="937" spans="2:10" ht="12.75" x14ac:dyDescent="0.2">
      <c r="B937" s="200"/>
      <c r="D937" s="98"/>
      <c r="E937" s="98"/>
      <c r="F937" s="98"/>
      <c r="G937" s="98"/>
      <c r="H937" s="98"/>
      <c r="I937" s="98"/>
      <c r="J937" s="98"/>
    </row>
    <row r="938" spans="2:10" ht="12.75" x14ac:dyDescent="0.2">
      <c r="B938" s="200"/>
      <c r="D938" s="98"/>
      <c r="E938" s="98"/>
      <c r="F938" s="98"/>
      <c r="G938" s="98"/>
      <c r="H938" s="98"/>
      <c r="I938" s="98"/>
      <c r="J938" s="98"/>
    </row>
    <row r="939" spans="2:10" ht="12.75" x14ac:dyDescent="0.2">
      <c r="B939" s="200"/>
      <c r="D939" s="98"/>
      <c r="E939" s="98"/>
      <c r="F939" s="98"/>
      <c r="G939" s="98"/>
      <c r="H939" s="98"/>
      <c r="I939" s="98"/>
      <c r="J939" s="98"/>
    </row>
    <row r="940" spans="2:10" ht="12.75" x14ac:dyDescent="0.2">
      <c r="B940" s="200"/>
      <c r="D940" s="98"/>
      <c r="E940" s="98"/>
      <c r="F940" s="98"/>
      <c r="G940" s="98"/>
      <c r="H940" s="98"/>
      <c r="I940" s="98"/>
      <c r="J940" s="98"/>
    </row>
    <row r="941" spans="2:10" ht="12.75" x14ac:dyDescent="0.2">
      <c r="B941" s="200"/>
      <c r="D941" s="98"/>
      <c r="E941" s="98"/>
      <c r="F941" s="98"/>
      <c r="G941" s="98"/>
      <c r="H941" s="98"/>
      <c r="I941" s="98"/>
      <c r="J941" s="98"/>
    </row>
    <row r="942" spans="2:10" ht="12.75" x14ac:dyDescent="0.2">
      <c r="B942" s="200"/>
      <c r="D942" s="98"/>
      <c r="E942" s="98"/>
      <c r="F942" s="98"/>
      <c r="G942" s="98"/>
      <c r="H942" s="98"/>
      <c r="I942" s="98"/>
      <c r="J942" s="98"/>
    </row>
    <row r="943" spans="2:10" ht="12.75" x14ac:dyDescent="0.2">
      <c r="B943" s="200"/>
      <c r="D943" s="98"/>
      <c r="E943" s="98"/>
      <c r="F943" s="98"/>
      <c r="G943" s="98"/>
      <c r="H943" s="98"/>
      <c r="I943" s="98"/>
      <c r="J943" s="98"/>
    </row>
    <row r="944" spans="2:10" ht="12.75" x14ac:dyDescent="0.2">
      <c r="B944" s="200"/>
      <c r="D944" s="98"/>
      <c r="E944" s="98"/>
      <c r="F944" s="98"/>
      <c r="G944" s="98"/>
      <c r="H944" s="98"/>
      <c r="I944" s="98"/>
      <c r="J944" s="98"/>
    </row>
    <row r="945" spans="2:10" ht="12.75" x14ac:dyDescent="0.2">
      <c r="B945" s="200"/>
      <c r="D945" s="98"/>
      <c r="E945" s="98"/>
      <c r="F945" s="98"/>
      <c r="G945" s="98"/>
      <c r="H945" s="98"/>
      <c r="I945" s="98"/>
      <c r="J945" s="98"/>
    </row>
    <row r="946" spans="2:10" ht="12.75" x14ac:dyDescent="0.2">
      <c r="B946" s="200"/>
      <c r="D946" s="98"/>
      <c r="E946" s="98"/>
      <c r="F946" s="98"/>
      <c r="G946" s="98"/>
      <c r="H946" s="98"/>
      <c r="I946" s="98"/>
      <c r="J946" s="98"/>
    </row>
    <row r="947" spans="2:10" ht="12.75" x14ac:dyDescent="0.2">
      <c r="B947" s="200"/>
      <c r="D947" s="98"/>
      <c r="E947" s="98"/>
      <c r="F947" s="98"/>
      <c r="G947" s="98"/>
      <c r="H947" s="98"/>
      <c r="I947" s="98"/>
      <c r="J947" s="98"/>
    </row>
    <row r="948" spans="2:10" ht="12.75" x14ac:dyDescent="0.2">
      <c r="B948" s="200"/>
      <c r="D948" s="98"/>
      <c r="E948" s="98"/>
      <c r="F948" s="98"/>
      <c r="G948" s="98"/>
      <c r="H948" s="98"/>
      <c r="I948" s="98"/>
      <c r="J948" s="98"/>
    </row>
    <row r="949" spans="2:10" ht="12.75" x14ac:dyDescent="0.2">
      <c r="B949" s="200"/>
      <c r="D949" s="98"/>
      <c r="E949" s="98"/>
      <c r="F949" s="98"/>
      <c r="G949" s="98"/>
      <c r="H949" s="98"/>
      <c r="I949" s="98"/>
      <c r="J949" s="98"/>
    </row>
    <row r="950" spans="2:10" ht="12.75" x14ac:dyDescent="0.2">
      <c r="B950" s="200"/>
      <c r="D950" s="98"/>
      <c r="E950" s="98"/>
      <c r="F950" s="98"/>
      <c r="G950" s="98"/>
      <c r="H950" s="98"/>
      <c r="I950" s="98"/>
      <c r="J950" s="98"/>
    </row>
    <row r="951" spans="2:10" ht="12.75" x14ac:dyDescent="0.2">
      <c r="B951" s="200"/>
      <c r="D951" s="98"/>
      <c r="E951" s="98"/>
      <c r="F951" s="98"/>
      <c r="G951" s="98"/>
      <c r="H951" s="98"/>
      <c r="I951" s="98"/>
      <c r="J951" s="98"/>
    </row>
    <row r="952" spans="2:10" ht="12.75" x14ac:dyDescent="0.2">
      <c r="B952" s="200"/>
      <c r="D952" s="98"/>
      <c r="E952" s="98"/>
      <c r="F952" s="98"/>
      <c r="G952" s="98"/>
      <c r="H952" s="98"/>
      <c r="I952" s="98"/>
      <c r="J952" s="98"/>
    </row>
    <row r="953" spans="2:10" ht="12.75" x14ac:dyDescent="0.2">
      <c r="B953" s="200"/>
      <c r="D953" s="98"/>
      <c r="E953" s="98"/>
      <c r="F953" s="98"/>
      <c r="G953" s="98"/>
      <c r="H953" s="98"/>
      <c r="I953" s="98"/>
      <c r="J953" s="98"/>
    </row>
    <row r="954" spans="2:10" ht="12.75" x14ac:dyDescent="0.2">
      <c r="B954" s="200"/>
      <c r="D954" s="98"/>
      <c r="E954" s="98"/>
      <c r="F954" s="98"/>
      <c r="G954" s="98"/>
      <c r="H954" s="98"/>
      <c r="I954" s="98"/>
      <c r="J954" s="98"/>
    </row>
    <row r="955" spans="2:10" ht="12.75" x14ac:dyDescent="0.2">
      <c r="B955" s="200"/>
      <c r="D955" s="98"/>
      <c r="E955" s="98"/>
      <c r="F955" s="98"/>
      <c r="G955" s="98"/>
      <c r="H955" s="98"/>
      <c r="I955" s="98"/>
      <c r="J955" s="98"/>
    </row>
    <row r="956" spans="2:10" ht="12.75" x14ac:dyDescent="0.2">
      <c r="B956" s="200"/>
      <c r="D956" s="98"/>
      <c r="E956" s="98"/>
      <c r="F956" s="98"/>
      <c r="G956" s="98"/>
      <c r="H956" s="98"/>
      <c r="I956" s="98"/>
      <c r="J956" s="98"/>
    </row>
    <row r="957" spans="2:10" ht="12.75" x14ac:dyDescent="0.2">
      <c r="B957" s="200"/>
      <c r="D957" s="98"/>
      <c r="E957" s="98"/>
      <c r="F957" s="98"/>
      <c r="G957" s="98"/>
      <c r="H957" s="98"/>
      <c r="I957" s="98"/>
      <c r="J957" s="98"/>
    </row>
    <row r="958" spans="2:10" ht="12.75" x14ac:dyDescent="0.2">
      <c r="B958" s="200"/>
      <c r="D958" s="98"/>
      <c r="E958" s="98"/>
      <c r="F958" s="98"/>
      <c r="G958" s="98"/>
      <c r="H958" s="98"/>
      <c r="I958" s="98"/>
      <c r="J958" s="98"/>
    </row>
    <row r="959" spans="2:10" ht="12.75" x14ac:dyDescent="0.2">
      <c r="B959" s="200"/>
      <c r="D959" s="98"/>
      <c r="E959" s="98"/>
      <c r="F959" s="98"/>
      <c r="G959" s="98"/>
      <c r="H959" s="98"/>
      <c r="I959" s="98"/>
      <c r="J959" s="98"/>
    </row>
    <row r="960" spans="2:10" ht="12.75" x14ac:dyDescent="0.2">
      <c r="B960" s="200"/>
      <c r="D960" s="98"/>
      <c r="E960" s="98"/>
      <c r="F960" s="98"/>
      <c r="G960" s="98"/>
      <c r="H960" s="98"/>
      <c r="I960" s="98"/>
      <c r="J960" s="98"/>
    </row>
    <row r="961" spans="2:10" ht="12.75" x14ac:dyDescent="0.2">
      <c r="B961" s="200"/>
      <c r="D961" s="98"/>
      <c r="E961" s="98"/>
      <c r="F961" s="98"/>
      <c r="G961" s="98"/>
      <c r="H961" s="98"/>
      <c r="I961" s="98"/>
      <c r="J961" s="98"/>
    </row>
    <row r="962" spans="2:10" ht="12.75" x14ac:dyDescent="0.2">
      <c r="B962" s="200"/>
      <c r="D962" s="98"/>
      <c r="E962" s="98"/>
      <c r="F962" s="98"/>
      <c r="G962" s="98"/>
      <c r="H962" s="98"/>
      <c r="I962" s="98"/>
      <c r="J962" s="98"/>
    </row>
    <row r="963" spans="2:10" ht="12.75" x14ac:dyDescent="0.2">
      <c r="B963" s="200"/>
      <c r="D963" s="98"/>
      <c r="E963" s="98"/>
      <c r="F963" s="98"/>
      <c r="G963" s="98"/>
      <c r="H963" s="98"/>
      <c r="I963" s="98"/>
      <c r="J963" s="98"/>
    </row>
    <row r="964" spans="2:10" ht="12.75" x14ac:dyDescent="0.2">
      <c r="B964" s="200"/>
      <c r="D964" s="98"/>
      <c r="E964" s="98"/>
      <c r="F964" s="98"/>
      <c r="G964" s="98"/>
      <c r="H964" s="98"/>
      <c r="I964" s="98"/>
      <c r="J964" s="98"/>
    </row>
    <row r="965" spans="2:10" ht="12.75" x14ac:dyDescent="0.2">
      <c r="B965" s="200"/>
      <c r="D965" s="98"/>
      <c r="E965" s="98"/>
      <c r="F965" s="98"/>
      <c r="G965" s="98"/>
      <c r="H965" s="98"/>
      <c r="I965" s="98"/>
      <c r="J965" s="98"/>
    </row>
    <row r="966" spans="2:10" ht="12.75" x14ac:dyDescent="0.2">
      <c r="B966" s="200"/>
      <c r="D966" s="98"/>
      <c r="E966" s="98"/>
      <c r="F966" s="98"/>
      <c r="G966" s="98"/>
      <c r="H966" s="98"/>
      <c r="I966" s="98"/>
      <c r="J966" s="98"/>
    </row>
    <row r="967" spans="2:10" ht="12.75" x14ac:dyDescent="0.2">
      <c r="B967" s="200"/>
      <c r="D967" s="98"/>
      <c r="E967" s="98"/>
      <c r="F967" s="98"/>
      <c r="G967" s="98"/>
      <c r="H967" s="98"/>
      <c r="I967" s="98"/>
      <c r="J967" s="98"/>
    </row>
    <row r="968" spans="2:10" ht="12.75" x14ac:dyDescent="0.2">
      <c r="B968" s="200"/>
      <c r="D968" s="98"/>
      <c r="E968" s="98"/>
      <c r="F968" s="98"/>
      <c r="G968" s="98"/>
      <c r="H968" s="98"/>
      <c r="I968" s="98"/>
      <c r="J968" s="98"/>
    </row>
    <row r="969" spans="2:10" ht="12.75" x14ac:dyDescent="0.2">
      <c r="B969" s="200"/>
      <c r="D969" s="98"/>
      <c r="E969" s="98"/>
      <c r="F969" s="98"/>
      <c r="G969" s="98"/>
      <c r="H969" s="98"/>
      <c r="I969" s="98"/>
      <c r="J969" s="98"/>
    </row>
    <row r="970" spans="2:10" ht="12.75" x14ac:dyDescent="0.2">
      <c r="B970" s="200"/>
      <c r="D970" s="98"/>
      <c r="E970" s="98"/>
      <c r="F970" s="98"/>
      <c r="G970" s="98"/>
      <c r="H970" s="98"/>
      <c r="I970" s="98"/>
      <c r="J970" s="98"/>
    </row>
    <row r="971" spans="2:10" ht="12.75" x14ac:dyDescent="0.2">
      <c r="B971" s="200"/>
      <c r="D971" s="98"/>
      <c r="E971" s="98"/>
      <c r="F971" s="98"/>
      <c r="G971" s="98"/>
      <c r="H971" s="98"/>
      <c r="I971" s="98"/>
      <c r="J971" s="98"/>
    </row>
    <row r="972" spans="2:10" ht="12.75" x14ac:dyDescent="0.2">
      <c r="B972" s="200"/>
      <c r="D972" s="98"/>
      <c r="E972" s="98"/>
      <c r="F972" s="98"/>
      <c r="G972" s="98"/>
      <c r="H972" s="98"/>
      <c r="I972" s="98"/>
      <c r="J972" s="98"/>
    </row>
    <row r="973" spans="2:10" ht="12.75" x14ac:dyDescent="0.2">
      <c r="B973" s="200"/>
      <c r="D973" s="98"/>
      <c r="E973" s="98"/>
      <c r="F973" s="98"/>
      <c r="G973" s="98"/>
      <c r="H973" s="98"/>
      <c r="I973" s="98"/>
      <c r="J973" s="98"/>
    </row>
    <row r="974" spans="2:10" ht="12.75" x14ac:dyDescent="0.2">
      <c r="B974" s="200"/>
      <c r="D974" s="98"/>
      <c r="E974" s="98"/>
      <c r="F974" s="98"/>
      <c r="G974" s="98"/>
      <c r="H974" s="98"/>
      <c r="I974" s="98"/>
      <c r="J974" s="98"/>
    </row>
    <row r="975" spans="2:10" ht="12.75" x14ac:dyDescent="0.2">
      <c r="B975" s="200"/>
      <c r="D975" s="98"/>
      <c r="E975" s="98"/>
      <c r="F975" s="98"/>
      <c r="G975" s="98"/>
      <c r="H975" s="98"/>
      <c r="I975" s="98"/>
      <c r="J975" s="98"/>
    </row>
    <row r="976" spans="2:10" ht="12.75" x14ac:dyDescent="0.2">
      <c r="B976" s="200"/>
      <c r="D976" s="98"/>
      <c r="E976" s="98"/>
      <c r="F976" s="98"/>
      <c r="G976" s="98"/>
      <c r="H976" s="98"/>
      <c r="I976" s="98"/>
      <c r="J976" s="98"/>
    </row>
    <row r="977" spans="2:10" ht="12.75" x14ac:dyDescent="0.2">
      <c r="B977" s="200"/>
      <c r="D977" s="98"/>
      <c r="E977" s="98"/>
      <c r="F977" s="98"/>
      <c r="G977" s="98"/>
      <c r="H977" s="98"/>
      <c r="I977" s="98"/>
      <c r="J977" s="98"/>
    </row>
    <row r="978" spans="2:10" ht="12.75" x14ac:dyDescent="0.2">
      <c r="B978" s="200"/>
      <c r="D978" s="98"/>
      <c r="E978" s="98"/>
      <c r="F978" s="98"/>
      <c r="G978" s="98"/>
      <c r="H978" s="98"/>
      <c r="I978" s="98"/>
      <c r="J978" s="98"/>
    </row>
    <row r="979" spans="2:10" ht="12.75" x14ac:dyDescent="0.2">
      <c r="B979" s="200"/>
      <c r="D979" s="98"/>
      <c r="E979" s="98"/>
      <c r="F979" s="98"/>
      <c r="G979" s="98"/>
      <c r="H979" s="98"/>
      <c r="I979" s="98"/>
      <c r="J979" s="98"/>
    </row>
    <row r="980" spans="2:10" ht="12.75" x14ac:dyDescent="0.2">
      <c r="B980" s="200"/>
      <c r="D980" s="98"/>
      <c r="E980" s="98"/>
      <c r="F980" s="98"/>
      <c r="G980" s="98"/>
      <c r="H980" s="98"/>
      <c r="I980" s="98"/>
      <c r="J980" s="98"/>
    </row>
    <row r="981" spans="2:10" ht="12.75" x14ac:dyDescent="0.2">
      <c r="B981" s="200"/>
      <c r="D981" s="98"/>
      <c r="E981" s="98"/>
      <c r="F981" s="98"/>
      <c r="G981" s="98"/>
      <c r="H981" s="98"/>
      <c r="I981" s="98"/>
      <c r="J981" s="98"/>
    </row>
    <row r="982" spans="2:10" ht="12.75" x14ac:dyDescent="0.2">
      <c r="B982" s="200"/>
      <c r="D982" s="98"/>
      <c r="E982" s="98"/>
      <c r="F982" s="98"/>
      <c r="G982" s="98"/>
      <c r="H982" s="98"/>
      <c r="I982" s="98"/>
      <c r="J982" s="98"/>
    </row>
    <row r="983" spans="2:10" ht="12.75" x14ac:dyDescent="0.2">
      <c r="B983" s="200"/>
      <c r="D983" s="98"/>
      <c r="E983" s="98"/>
      <c r="F983" s="98"/>
      <c r="G983" s="98"/>
      <c r="H983" s="98"/>
      <c r="I983" s="98"/>
      <c r="J983" s="98"/>
    </row>
    <row r="984" spans="2:10" ht="12.75" x14ac:dyDescent="0.2">
      <c r="B984" s="200"/>
      <c r="D984" s="98"/>
      <c r="E984" s="98"/>
      <c r="F984" s="98"/>
      <c r="G984" s="98"/>
      <c r="H984" s="98"/>
      <c r="I984" s="98"/>
      <c r="J984" s="98"/>
    </row>
    <row r="985" spans="2:10" ht="12.75" x14ac:dyDescent="0.2">
      <c r="B985" s="200"/>
      <c r="D985" s="98"/>
      <c r="E985" s="98"/>
      <c r="F985" s="98"/>
      <c r="G985" s="98"/>
      <c r="H985" s="98"/>
      <c r="I985" s="98"/>
      <c r="J985" s="98"/>
    </row>
    <row r="986" spans="2:10" ht="12.75" x14ac:dyDescent="0.2">
      <c r="B986" s="200"/>
      <c r="D986" s="98"/>
      <c r="E986" s="98"/>
      <c r="F986" s="98"/>
      <c r="G986" s="98"/>
      <c r="H986" s="98"/>
      <c r="I986" s="98"/>
      <c r="J986" s="98"/>
    </row>
    <row r="987" spans="2:10" ht="12.75" x14ac:dyDescent="0.2">
      <c r="B987" s="200"/>
      <c r="D987" s="98"/>
      <c r="E987" s="98"/>
      <c r="F987" s="98"/>
      <c r="G987" s="98"/>
      <c r="H987" s="98"/>
      <c r="I987" s="98"/>
      <c r="J987" s="98"/>
    </row>
    <row r="988" spans="2:10" ht="12.75" x14ac:dyDescent="0.2">
      <c r="B988" s="200"/>
      <c r="D988" s="98"/>
      <c r="E988" s="98"/>
      <c r="F988" s="98"/>
      <c r="G988" s="98"/>
      <c r="H988" s="98"/>
      <c r="I988" s="98"/>
      <c r="J988" s="98"/>
    </row>
    <row r="989" spans="2:10" ht="12.75" x14ac:dyDescent="0.2">
      <c r="B989" s="200"/>
      <c r="D989" s="98"/>
      <c r="E989" s="98"/>
      <c r="F989" s="98"/>
      <c r="G989" s="98"/>
      <c r="H989" s="98"/>
      <c r="I989" s="98"/>
      <c r="J989" s="98"/>
    </row>
    <row r="990" spans="2:10" ht="12.75" x14ac:dyDescent="0.2">
      <c r="B990" s="200"/>
      <c r="D990" s="98"/>
      <c r="E990" s="98"/>
      <c r="F990" s="98"/>
      <c r="G990" s="98"/>
      <c r="H990" s="98"/>
      <c r="I990" s="98"/>
      <c r="J990" s="98"/>
    </row>
    <row r="991" spans="2:10" ht="12.75" x14ac:dyDescent="0.2">
      <c r="B991" s="200"/>
      <c r="D991" s="98"/>
      <c r="E991" s="98"/>
      <c r="F991" s="98"/>
      <c r="G991" s="98"/>
      <c r="H991" s="98"/>
      <c r="I991" s="98"/>
      <c r="J991" s="98"/>
    </row>
    <row r="992" spans="2:10" ht="12.75" x14ac:dyDescent="0.2">
      <c r="B992" s="200"/>
      <c r="D992" s="98"/>
      <c r="E992" s="98"/>
      <c r="F992" s="98"/>
      <c r="G992" s="98"/>
      <c r="H992" s="98"/>
      <c r="I992" s="98"/>
      <c r="J992" s="98"/>
    </row>
    <row r="993" spans="2:10" ht="12.75" x14ac:dyDescent="0.2">
      <c r="B993" s="200"/>
      <c r="D993" s="98"/>
      <c r="E993" s="98"/>
      <c r="F993" s="98"/>
      <c r="G993" s="98"/>
      <c r="H993" s="98"/>
      <c r="I993" s="98"/>
      <c r="J993" s="98"/>
    </row>
    <row r="994" spans="2:10" ht="12.75" x14ac:dyDescent="0.2">
      <c r="B994" s="200"/>
      <c r="D994" s="98"/>
      <c r="E994" s="98"/>
      <c r="F994" s="98"/>
      <c r="G994" s="98"/>
      <c r="H994" s="98"/>
      <c r="I994" s="98"/>
      <c r="J994" s="98"/>
    </row>
    <row r="995" spans="2:10" ht="12.75" x14ac:dyDescent="0.2">
      <c r="B995" s="200"/>
      <c r="D995" s="98"/>
      <c r="E995" s="98"/>
      <c r="F995" s="98"/>
      <c r="G995" s="98"/>
      <c r="H995" s="98"/>
      <c r="I995" s="98"/>
      <c r="J995" s="98"/>
    </row>
    <row r="996" spans="2:10" ht="12.75" x14ac:dyDescent="0.2">
      <c r="B996" s="200"/>
      <c r="D996" s="98"/>
      <c r="E996" s="98"/>
      <c r="F996" s="98"/>
      <c r="G996" s="98"/>
      <c r="H996" s="98"/>
      <c r="I996" s="98"/>
      <c r="J996" s="98"/>
    </row>
    <row r="997" spans="2:10" ht="12.75" x14ac:dyDescent="0.2">
      <c r="B997" s="200"/>
      <c r="D997" s="98"/>
      <c r="E997" s="98"/>
      <c r="F997" s="98"/>
      <c r="G997" s="98"/>
      <c r="H997" s="98"/>
      <c r="I997" s="98"/>
      <c r="J997" s="98"/>
    </row>
    <row r="998" spans="2:10" ht="12.75" x14ac:dyDescent="0.2">
      <c r="B998" s="200"/>
      <c r="D998" s="98"/>
      <c r="E998" s="98"/>
      <c r="F998" s="98"/>
      <c r="G998" s="98"/>
      <c r="H998" s="98"/>
      <c r="I998" s="98"/>
      <c r="J998" s="98"/>
    </row>
    <row r="999" spans="2:10" ht="12.75" x14ac:dyDescent="0.2">
      <c r="B999" s="200"/>
      <c r="D999" s="98"/>
      <c r="E999" s="98"/>
      <c r="F999" s="98"/>
      <c r="G999" s="98"/>
      <c r="H999" s="98"/>
      <c r="I999" s="98"/>
      <c r="J999" s="98"/>
    </row>
    <row r="1000" spans="2:10" ht="12.75" x14ac:dyDescent="0.2">
      <c r="B1000" s="200"/>
      <c r="D1000" s="98"/>
      <c r="E1000" s="98"/>
      <c r="F1000" s="98"/>
      <c r="G1000" s="98"/>
      <c r="H1000" s="98"/>
      <c r="I1000" s="98"/>
      <c r="J1000" s="98"/>
    </row>
    <row r="1001" spans="2:10" ht="12.75" x14ac:dyDescent="0.2">
      <c r="B1001" s="200"/>
      <c r="D1001" s="98"/>
      <c r="E1001" s="98"/>
      <c r="F1001" s="98"/>
      <c r="G1001" s="98"/>
      <c r="H1001" s="98"/>
      <c r="I1001" s="98"/>
      <c r="J1001" s="98"/>
    </row>
    <row r="1002" spans="2:10" ht="12.75" x14ac:dyDescent="0.2">
      <c r="B1002" s="200"/>
      <c r="C1002" s="4"/>
      <c r="D1002" s="94"/>
      <c r="E1002" s="94"/>
      <c r="F1002" s="94"/>
      <c r="G1002" s="94"/>
      <c r="H1002" s="94"/>
      <c r="I1002" s="94"/>
      <c r="J1002" s="94"/>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vt:lpstr>
      <vt:lpstr>National CEA estimate</vt:lpstr>
      <vt:lpstr>Specific Location Estimates</vt:lpstr>
      <vt:lpstr>Morbidity</vt:lpstr>
      <vt:lpstr>Death Rate Estimates</vt:lpstr>
      <vt:lpstr>New Implementation Costs</vt:lpstr>
      <vt:lpstr>GBD Estimates</vt:lpstr>
      <vt:lpstr>Study results - Gap Reduced</vt:lpstr>
      <vt:lpstr>Notes of factors not taken into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2017-05-31T12:50:14Z</dcterms:created>
  <dcterms:modified xsi:type="dcterms:W3CDTF">2017-05-31T12:50:25Z</dcterms:modified>
</cp:coreProperties>
</file>