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940" windowHeight="5895" activeTab="0"/>
  </bookViews>
  <sheets>
    <sheet name="Main sheet" sheetId="1" r:id="rId1"/>
  </sheets>
  <definedNames/>
  <calcPr calcMode="manual" fullCalcOnLoad="1" calcCompleted="0" calcOnSave="0"/>
</workbook>
</file>

<file path=xl/sharedStrings.xml><?xml version="1.0" encoding="utf-8"?>
<sst xmlns="http://schemas.openxmlformats.org/spreadsheetml/2006/main" count="82" uniqueCount="63">
  <si>
    <t>Deaths averted per protected child under 5</t>
  </si>
  <si>
    <t>People covered per LLIN</t>
  </si>
  <si>
    <t>Years of protection per person per LLIN</t>
  </si>
  <si>
    <t>Percent of population under 5</t>
  </si>
  <si>
    <t>Calculation</t>
  </si>
  <si>
    <t>Total amount spent</t>
  </si>
  <si>
    <t>Total deaths averted for children under 5</t>
  </si>
  <si>
    <t>Total LLINs distributed</t>
  </si>
  <si>
    <t>Total person-years of protection</t>
  </si>
  <si>
    <t>Total person-years of protection for children under 5</t>
  </si>
  <si>
    <t>Calculation: adds the benefit children under-5 get from the current level of overall coverage to the benefit they get from their individual coverage.</t>
  </si>
  <si>
    <t>Cost per death averted</t>
  </si>
  <si>
    <t>Irrelevant to final cost-per-outcome figure; fill in a number that makes results intuitive</t>
  </si>
  <si>
    <t>Baseline scenario</t>
  </si>
  <si>
    <t>Cost per ITN distributed (including delivery)</t>
  </si>
  <si>
    <t>Cost per person-year of protection</t>
  </si>
  <si>
    <t>Cost per person-year of protection: under-5's only</t>
  </si>
  <si>
    <t>Note that the effects noted in Lengeler 2004 do not depend on perfect coverage/usage of ITNs (see GiveWell summary of studies discussed in Lengeler 2004). This calculation uses "Theoretical coverage based on ITNs distributed" rather than "Actual usage" as the key input.</t>
  </si>
  <si>
    <t>http://www.givewell.org/node/1798#Whatdoyougetforyourdollar</t>
  </si>
  <si>
    <t>% of impact of ITNs coming from community-wide effects</t>
  </si>
  <si>
    <t>Effective pre-existing coverage of children under 5</t>
  </si>
  <si>
    <t>Malawi DHS 2010, Pg 9</t>
  </si>
  <si>
    <t>Percent of population aged 5-14</t>
  </si>
  <si>
    <t>Effective pre-existing coverage: children aged 5-14</t>
  </si>
  <si>
    <t>Cost per person-year of protection: under-14's only</t>
  </si>
  <si>
    <t>Total person-years of protection for children aged 5-14</t>
  </si>
  <si>
    <t>Person-years of protection for children under 14</t>
  </si>
  <si>
    <t>Equivalent children under 14 protected for 10 years</t>
  </si>
  <si>
    <t>Equivalent children 5-14 dewormed for 10 years</t>
  </si>
  <si>
    <t>Break-even # children aged 5-14 dewormed for 10 years to one life saved</t>
  </si>
  <si>
    <t>Skepticism about community effects</t>
  </si>
  <si>
    <t>Pre-existing ITN ownership: all</t>
  </si>
  <si>
    <t>Pre-existing ITN ownership: children under 5</t>
  </si>
  <si>
    <t>Pre-existing ITN ownership: children aged 5-14</t>
  </si>
  <si>
    <t>Ratio of cost per child protected by ITN per year to cost per child dewormed per year</t>
  </si>
  <si>
    <t>Pessimistic assumptions about ITN decay</t>
  </si>
  <si>
    <t>Optimistic assumptions about ITN decay</t>
  </si>
  <si>
    <t>Wastage</t>
  </si>
  <si>
    <t>None - subjective</t>
  </si>
  <si>
    <t>(Avg cost)</t>
  </si>
  <si>
    <t>(Marginal cost)</t>
  </si>
  <si>
    <t>Comparison to deworming:</t>
  </si>
  <si>
    <t>Cost per child dewormed</t>
  </si>
  <si>
    <t>http://www.givewell.org/node/1806#Whatdoyougetforyourdollar</t>
  </si>
  <si>
    <t>For one life saved, how many children 5-14 years old are given 10 years worth of ITN protection?</t>
  </si>
  <si>
    <t>Source/notes</t>
  </si>
  <si>
    <t>For the cost of one life saved with ITNs, how many children 5-14 could be dewormed for 10 years each instead?</t>
  </si>
  <si>
    <t>Calculation, similar to directly above.</t>
  </si>
  <si>
    <t>Malawi DHS 2010, Pg 155. Modeling usage as 70% of ownership; thus, usage is divided by 70% to get ownership.</t>
  </si>
  <si>
    <t>See cost-effectiveness section of writeup. The model here is that if X% of the effect comes from individual-level effects, then the "effective coverage" for children under-5 is X%*(coverage for children under 5)+(1-X)%*(community-level coverage)</t>
  </si>
  <si>
    <t># of person-years of protection for children under 5, per person-year of protection for the community as a whole</t>
  </si>
  <si>
    <t># of person-years of protection for children aged 5-14, per person-year of protection for the community as a whole</t>
  </si>
  <si>
    <t>Calculation. Assumes that everyone in the population is brought to 100% effective coverage, so the % of the benefits that goes to under-5's depends on the pre-existing levels of effective coverage. For a population of 1 for 1 year, (1-C11) additional person-years of coverage are provided to reach 100% coverage, and (100%-C15)*(C7) additional years of protection are given to children under 5.</t>
  </si>
  <si>
    <t>DALYs per life taken from Lopez et al. 2006, Table 5.1, Pg 52. We assume that all deaths averted are for 5-year-olds. These DALY figures do NOT include any benefits other than lives saved.</t>
  </si>
  <si>
    <t>Conversion to cost per DALY</t>
  </si>
  <si>
    <t>Cost per DALY(0,0)</t>
  </si>
  <si>
    <t>Cost per DALY(3,0)</t>
  </si>
  <si>
    <t>Cost per DALY(3,1)</t>
  </si>
  <si>
    <t>Uses the decay model discussed in the writeup (see "From LLIN distribution to LLIN ownership")</t>
  </si>
  <si>
    <t>"The summary rate difference, which expresses how many lives can be saved for every 1000 children protected, was 5.53 deaths averted per 1000 children protected per year (95% CI 3.39 to 7.67; Analysis 1.2). I performed a regression analysis of the natural logarithm of the rate difference on the entomological inoculation rate and could not ?nd a trend (r 2 = 0.52, F = 3.2 on 1,3 degrees of freedom, P = 0.2). In contrast to protective efficacies, the risk differences seemed to have a tendency towards a higher effect with a higher entomological inoculation rate. This apparent paradox is because the baseline mortality rates are higher in areas with high entomological inoculation rates." Lengeler 2004, Pg 8. Author has confirmed that "protection" means "has received an ITN", not "has been confirmed to be using an ITN."</t>
  </si>
  <si>
    <t>Likely to have similar benefits to deworming</t>
  </si>
  <si>
    <t>If and only if you prefer saving a life to deworming this # of children for 10 years each, you prefer ITN distribution to deworming.</t>
  </si>
  <si>
    <t>Upper bound on how much more cost-effective deworming can be than ITN distribution, if we assume that ITNs confer similar benefits to deworming (but are more expensive) and ignore lives saved.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</si>
</sst>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000"/>
  </numFmts>
  <fonts count="3">
    <font>
      <sz val="10"/>
      <name val="Arial"/>
      <family val="0"/>
    </font>
    <font>
      <u val="single"/>
      <sz val="10"/>
      <color indexed="12"/>
      <name val="Arial"/>
      <family val="0"/>
    </font>
    <font>
      <i/>
      <sz val="10"/>
      <name val="Arial"/>
      <family val="2"/>
    </font>
  </fonts>
  <fills count="4">
    <fill>
      <patternFill/>
    </fill>
    <fill>
      <patternFill patternType="gray125"/>
    </fill>
    <fill>
      <patternFill patternType="solid">
        <fgColor indexed="11"/>
        <bgColor indexed="64"/>
      </patternFill>
    </fill>
    <fill>
      <patternFill patternType="solid">
        <fgColor indexed="15"/>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9" fontId="0" fillId="0" borderId="0" xfId="0" applyNumberFormat="1" applyAlignment="1">
      <alignment/>
    </xf>
    <xf numFmtId="4" fontId="0" fillId="0" borderId="0" xfId="0" applyNumberFormat="1" applyAlignment="1">
      <alignment/>
    </xf>
    <xf numFmtId="8" fontId="0" fillId="0" borderId="0" xfId="0" applyNumberFormat="1" applyAlignment="1">
      <alignment/>
    </xf>
    <xf numFmtId="9" fontId="0" fillId="2" borderId="0" xfId="0" applyNumberFormat="1" applyFill="1" applyAlignment="1">
      <alignment/>
    </xf>
    <xf numFmtId="0" fontId="0" fillId="0" borderId="0" xfId="0" applyFill="1" applyAlignment="1">
      <alignment/>
    </xf>
    <xf numFmtId="4" fontId="0" fillId="2" borderId="0" xfId="0" applyNumberFormat="1" applyFill="1" applyAlignment="1">
      <alignment/>
    </xf>
    <xf numFmtId="0" fontId="1" fillId="0" borderId="0" xfId="19" applyAlignment="1">
      <alignment/>
    </xf>
    <xf numFmtId="0" fontId="0" fillId="3" borderId="0" xfId="0" applyFill="1" applyAlignment="1">
      <alignment/>
    </xf>
    <xf numFmtId="0" fontId="0" fillId="3" borderId="0" xfId="0" applyFill="1" applyAlignment="1" quotePrefix="1">
      <alignment/>
    </xf>
    <xf numFmtId="8" fontId="0" fillId="3" borderId="0" xfId="0" applyNumberFormat="1" applyFill="1" applyAlignment="1">
      <alignment/>
    </xf>
    <xf numFmtId="4" fontId="0" fillId="3" borderId="0" xfId="0" applyNumberFormat="1" applyFill="1" applyAlignment="1">
      <alignment/>
    </xf>
    <xf numFmtId="0" fontId="2" fillId="0" borderId="0" xfId="0" applyFont="1" applyAlignment="1">
      <alignment/>
    </xf>
    <xf numFmtId="0" fontId="0" fillId="0" borderId="0" xfId="0" applyFont="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ivewell.org/node/1798#Whatdoyougetforyourdollar" TargetMode="External" /><Relationship Id="rId2" Type="http://schemas.openxmlformats.org/officeDocument/2006/relationships/hyperlink" Target="http://www.givewell.org/node/1806#Whatdoyougetforyourdollar" TargetMode="External" /></Relationships>
</file>

<file path=xl/worksheets/sheet1.xml><?xml version="1.0" encoding="utf-8"?>
<worksheet xmlns="http://schemas.openxmlformats.org/spreadsheetml/2006/main" xmlns:r="http://schemas.openxmlformats.org/officeDocument/2006/relationships">
  <dimension ref="A1:K48"/>
  <sheetViews>
    <sheetView tabSelected="1" workbookViewId="0" topLeftCell="A1">
      <pane xSplit="1" ySplit="2" topLeftCell="B31" activePane="bottomRight" state="frozen"/>
      <selection pane="topLeft" activeCell="A1" sqref="A1"/>
      <selection pane="topRight" activeCell="B1" sqref="B1"/>
      <selection pane="bottomLeft" activeCell="A3" sqref="A3"/>
      <selection pane="bottomRight" activeCell="A44" sqref="A44"/>
    </sheetView>
  </sheetViews>
  <sheetFormatPr defaultColWidth="9.140625" defaultRowHeight="12.75"/>
  <cols>
    <col min="1" max="1" width="17.421875" style="0" customWidth="1"/>
    <col min="3" max="3" width="13.421875" style="0" bestFit="1" customWidth="1"/>
    <col min="4" max="6" width="20.00390625" style="0" customWidth="1"/>
    <col min="7" max="7" width="1.28515625" style="8" customWidth="1"/>
    <col min="8" max="8" width="10.8515625" style="0" bestFit="1" customWidth="1"/>
    <col min="9" max="11" width="9.7109375" style="0" bestFit="1" customWidth="1"/>
  </cols>
  <sheetData>
    <row r="1" spans="3:11" ht="12.75">
      <c r="C1" t="s">
        <v>13</v>
      </c>
      <c r="D1" t="s">
        <v>30</v>
      </c>
      <c r="E1" t="s">
        <v>35</v>
      </c>
      <c r="F1" t="s">
        <v>36</v>
      </c>
      <c r="H1" t="s">
        <v>13</v>
      </c>
      <c r="I1" t="s">
        <v>30</v>
      </c>
      <c r="J1" t="s">
        <v>35</v>
      </c>
      <c r="K1" t="s">
        <v>36</v>
      </c>
    </row>
    <row r="2" spans="2:11" ht="12.75">
      <c r="B2" t="s">
        <v>45</v>
      </c>
      <c r="C2" t="s">
        <v>39</v>
      </c>
      <c r="D2" t="s">
        <v>39</v>
      </c>
      <c r="E2" t="s">
        <v>39</v>
      </c>
      <c r="F2" t="s">
        <v>39</v>
      </c>
      <c r="H2" t="s">
        <v>40</v>
      </c>
      <c r="I2" t="s">
        <v>40</v>
      </c>
      <c r="J2" t="s">
        <v>40</v>
      </c>
      <c r="K2" t="s">
        <v>40</v>
      </c>
    </row>
    <row r="3" spans="1:11" ht="12.75">
      <c r="A3" t="s">
        <v>14</v>
      </c>
      <c r="B3" s="7" t="s">
        <v>18</v>
      </c>
      <c r="C3" s="3">
        <v>6.31</v>
      </c>
      <c r="D3" s="3">
        <v>6.31</v>
      </c>
      <c r="E3" s="3">
        <v>6.31</v>
      </c>
      <c r="F3" s="3">
        <v>6.31</v>
      </c>
      <c r="H3" s="3">
        <v>5.52</v>
      </c>
      <c r="I3" s="3">
        <v>5.52</v>
      </c>
      <c r="J3" s="3">
        <v>5.52</v>
      </c>
      <c r="K3" s="3">
        <v>5.52</v>
      </c>
    </row>
    <row r="4" spans="1:11" ht="12.75">
      <c r="A4" t="s">
        <v>37</v>
      </c>
      <c r="B4" t="s">
        <v>38</v>
      </c>
      <c r="C4" s="4">
        <v>0.05</v>
      </c>
      <c r="D4" s="4">
        <v>0.05</v>
      </c>
      <c r="E4" s="4">
        <v>0.05</v>
      </c>
      <c r="F4" s="4">
        <v>0.05</v>
      </c>
      <c r="H4" s="4">
        <v>0.05</v>
      </c>
      <c r="I4" s="4">
        <v>0.05</v>
      </c>
      <c r="J4" s="4">
        <v>0.05</v>
      </c>
      <c r="K4" s="4">
        <v>0.05</v>
      </c>
    </row>
    <row r="5" spans="1:11" ht="12.75">
      <c r="A5" t="s">
        <v>1</v>
      </c>
      <c r="B5" t="s">
        <v>17</v>
      </c>
      <c r="C5">
        <v>1.8</v>
      </c>
      <c r="D5">
        <v>1.8</v>
      </c>
      <c r="E5">
        <v>1.8</v>
      </c>
      <c r="F5">
        <v>1.8</v>
      </c>
      <c r="H5">
        <v>1.8</v>
      </c>
      <c r="I5">
        <v>1.8</v>
      </c>
      <c r="J5">
        <v>1.8</v>
      </c>
      <c r="K5">
        <v>1.8</v>
      </c>
    </row>
    <row r="6" spans="1:11" ht="12.75">
      <c r="A6" t="s">
        <v>2</v>
      </c>
      <c r="B6" t="s">
        <v>58</v>
      </c>
      <c r="C6" s="6">
        <f>0.92+0.8+0.5</f>
        <v>2.22</v>
      </c>
      <c r="D6" s="6">
        <f>C6</f>
        <v>2.22</v>
      </c>
      <c r="E6" s="6">
        <v>1</v>
      </c>
      <c r="F6" s="6">
        <v>3</v>
      </c>
      <c r="H6" s="6">
        <f>0.92+0.8+0.5</f>
        <v>2.22</v>
      </c>
      <c r="I6" s="6">
        <f>H6</f>
        <v>2.22</v>
      </c>
      <c r="J6" s="6">
        <v>1</v>
      </c>
      <c r="K6" s="6">
        <v>3</v>
      </c>
    </row>
    <row r="7" spans="1:11" ht="12.75">
      <c r="A7" t="s">
        <v>3</v>
      </c>
      <c r="B7" s="5" t="s">
        <v>21</v>
      </c>
      <c r="C7" s="1">
        <v>0.172</v>
      </c>
      <c r="D7" s="1">
        <v>0.172</v>
      </c>
      <c r="E7" s="1">
        <v>0.172</v>
      </c>
      <c r="F7" s="1">
        <v>0.172</v>
      </c>
      <c r="H7" s="1">
        <v>0.172</v>
      </c>
      <c r="I7" s="1">
        <v>0.172</v>
      </c>
      <c r="J7" s="1">
        <v>0.172</v>
      </c>
      <c r="K7" s="1">
        <v>0.172</v>
      </c>
    </row>
    <row r="8" spans="1:11" ht="12.75">
      <c r="A8" t="s">
        <v>22</v>
      </c>
      <c r="B8" s="5" t="s">
        <v>21</v>
      </c>
      <c r="C8" s="1">
        <f>17.1%+14.7%</f>
        <v>0.318</v>
      </c>
      <c r="D8" s="1">
        <f>17.1%+14.7%</f>
        <v>0.318</v>
      </c>
      <c r="E8" s="1">
        <f>17.1%+14.7%</f>
        <v>0.318</v>
      </c>
      <c r="F8" s="1">
        <f>17.1%+14.7%</f>
        <v>0.318</v>
      </c>
      <c r="H8" s="1">
        <f>17.1%+14.7%</f>
        <v>0.318</v>
      </c>
      <c r="I8" s="1">
        <f>17.1%+14.7%</f>
        <v>0.318</v>
      </c>
      <c r="J8" s="1">
        <f>17.1%+14.7%</f>
        <v>0.318</v>
      </c>
      <c r="K8" s="1">
        <f>17.1%+14.7%</f>
        <v>0.318</v>
      </c>
    </row>
    <row r="9" spans="1:11" ht="12.75">
      <c r="A9" t="s">
        <v>0</v>
      </c>
      <c r="B9" t="s">
        <v>59</v>
      </c>
      <c r="C9">
        <f>5.53/1000</f>
        <v>0.00553</v>
      </c>
      <c r="D9">
        <f>5.53/1000</f>
        <v>0.00553</v>
      </c>
      <c r="E9">
        <f>5.53/1000</f>
        <v>0.00553</v>
      </c>
      <c r="F9">
        <f>5.53/1000</f>
        <v>0.00553</v>
      </c>
      <c r="G9" s="9"/>
      <c r="H9">
        <f>5.53/1000</f>
        <v>0.00553</v>
      </c>
      <c r="I9">
        <f>5.53/1000</f>
        <v>0.00553</v>
      </c>
      <c r="J9">
        <f>5.53/1000</f>
        <v>0.00553</v>
      </c>
      <c r="K9">
        <f>5.53/1000</f>
        <v>0.00553</v>
      </c>
    </row>
    <row r="11" spans="1:11" ht="12.75">
      <c r="A11" t="s">
        <v>31</v>
      </c>
      <c r="B11" s="5" t="s">
        <v>48</v>
      </c>
      <c r="C11" s="4">
        <f>29%/0.7</f>
        <v>0.41428571428571426</v>
      </c>
      <c r="D11" s="4">
        <f>C11</f>
        <v>0.41428571428571426</v>
      </c>
      <c r="E11" s="4">
        <f>C11</f>
        <v>0.41428571428571426</v>
      </c>
      <c r="F11" s="4">
        <f>D11</f>
        <v>0.41428571428571426</v>
      </c>
      <c r="H11" s="4">
        <f>29%/0.7</f>
        <v>0.41428571428571426</v>
      </c>
      <c r="I11" s="4">
        <f>H11</f>
        <v>0.41428571428571426</v>
      </c>
      <c r="J11" s="4">
        <f>H11</f>
        <v>0.41428571428571426</v>
      </c>
      <c r="K11" s="4">
        <f>I11</f>
        <v>0.41428571428571426</v>
      </c>
    </row>
    <row r="12" spans="1:11" ht="12.75">
      <c r="A12" t="s">
        <v>32</v>
      </c>
      <c r="B12" s="5" t="s">
        <v>48</v>
      </c>
      <c r="C12" s="4">
        <f>37.9%/0.7</f>
        <v>0.5414285714285715</v>
      </c>
      <c r="D12" s="4">
        <f>C12</f>
        <v>0.5414285714285715</v>
      </c>
      <c r="E12" s="4">
        <f>C12</f>
        <v>0.5414285714285715</v>
      </c>
      <c r="F12" s="4">
        <f>D12</f>
        <v>0.5414285714285715</v>
      </c>
      <c r="H12" s="4">
        <f>37.9%/0.7</f>
        <v>0.5414285714285715</v>
      </c>
      <c r="I12" s="4">
        <f>H12</f>
        <v>0.5414285714285715</v>
      </c>
      <c r="J12" s="4">
        <f>H12</f>
        <v>0.5414285714285715</v>
      </c>
      <c r="K12" s="4">
        <f>I12</f>
        <v>0.5414285714285715</v>
      </c>
    </row>
    <row r="13" spans="1:11" ht="12.75">
      <c r="A13" t="s">
        <v>33</v>
      </c>
      <c r="B13" s="5" t="s">
        <v>48</v>
      </c>
      <c r="C13" s="4">
        <f>20.1%/0.7</f>
        <v>0.2871428571428572</v>
      </c>
      <c r="D13" s="4">
        <f>C13</f>
        <v>0.2871428571428572</v>
      </c>
      <c r="E13" s="4">
        <f>D13</f>
        <v>0.2871428571428572</v>
      </c>
      <c r="F13" s="4">
        <f>E13</f>
        <v>0.2871428571428572</v>
      </c>
      <c r="H13" s="4">
        <f>20.1%/0.7</f>
        <v>0.2871428571428572</v>
      </c>
      <c r="I13" s="4">
        <f>H13</f>
        <v>0.2871428571428572</v>
      </c>
      <c r="J13" s="4">
        <f>I13</f>
        <v>0.2871428571428572</v>
      </c>
      <c r="K13" s="4">
        <f>J13</f>
        <v>0.2871428571428572</v>
      </c>
    </row>
    <row r="14" spans="1:11" ht="12.75">
      <c r="A14" t="s">
        <v>19</v>
      </c>
      <c r="B14" t="s">
        <v>49</v>
      </c>
      <c r="C14" s="4">
        <v>0.5</v>
      </c>
      <c r="D14" s="4">
        <v>0.1</v>
      </c>
      <c r="E14" s="4">
        <v>0.5</v>
      </c>
      <c r="F14" s="4">
        <v>0.5</v>
      </c>
      <c r="H14" s="4">
        <v>0.5</v>
      </c>
      <c r="I14" s="4">
        <v>0.1</v>
      </c>
      <c r="J14" s="4">
        <v>0.5</v>
      </c>
      <c r="K14" s="4">
        <v>0.5</v>
      </c>
    </row>
    <row r="15" spans="1:11" ht="12.75">
      <c r="A15" t="s">
        <v>20</v>
      </c>
      <c r="B15" t="s">
        <v>10</v>
      </c>
      <c r="C15" s="1">
        <f>C14*C11+(1-C14)*C12</f>
        <v>0.47785714285714287</v>
      </c>
      <c r="D15" s="1">
        <f>D14*D11+(1-D14)*D12</f>
        <v>0.5287142857142857</v>
      </c>
      <c r="E15" s="1">
        <f>E14*E11+(1-E14)*E12</f>
        <v>0.47785714285714287</v>
      </c>
      <c r="F15" s="1">
        <f>F14*F11+(1-F14)*F12</f>
        <v>0.47785714285714287</v>
      </c>
      <c r="H15" s="1">
        <f>H14*H11+(1-H14)*H12</f>
        <v>0.47785714285714287</v>
      </c>
      <c r="I15" s="1">
        <f>I14*I11+(1-I14)*I12</f>
        <v>0.5287142857142857</v>
      </c>
      <c r="J15" s="1">
        <f>J14*J11+(1-J14)*J12</f>
        <v>0.47785714285714287</v>
      </c>
      <c r="K15" s="1">
        <f>K14*K11+(1-K14)*K12</f>
        <v>0.47785714285714287</v>
      </c>
    </row>
    <row r="16" spans="1:11" ht="12.75">
      <c r="A16" t="s">
        <v>23</v>
      </c>
      <c r="B16" t="s">
        <v>10</v>
      </c>
      <c r="C16" s="1">
        <f>C14*C11+(1-C14)*C13</f>
        <v>0.35071428571428576</v>
      </c>
      <c r="D16" s="1">
        <f>D14*D11+(1-D14)*D13</f>
        <v>0.29985714285714293</v>
      </c>
      <c r="E16" s="1">
        <f>E14*E11+(1-E14)*E13</f>
        <v>0.35071428571428576</v>
      </c>
      <c r="F16" s="1">
        <f>F14*F11+(1-F14)*F13</f>
        <v>0.35071428571428576</v>
      </c>
      <c r="H16" s="1">
        <f>H14*H11+(1-H14)*H13</f>
        <v>0.35071428571428576</v>
      </c>
      <c r="I16" s="1">
        <f>I14*I11+(1-I14)*I13</f>
        <v>0.29985714285714293</v>
      </c>
      <c r="J16" s="1">
        <f>J14*J11+(1-J14)*J13</f>
        <v>0.35071428571428576</v>
      </c>
      <c r="K16" s="1">
        <f>K14*K11+(1-K14)*K13</f>
        <v>0.35071428571428576</v>
      </c>
    </row>
    <row r="17" spans="1:11" ht="12.75">
      <c r="A17" t="s">
        <v>50</v>
      </c>
      <c r="B17" t="s">
        <v>52</v>
      </c>
      <c r="C17" s="1">
        <f>((100%-C15)*C7)/((1-C11))</f>
        <v>0.15333170731707316</v>
      </c>
      <c r="D17" s="1">
        <f>((100%-D15)*D7)/((1-D11))</f>
        <v>0.13839707317073172</v>
      </c>
      <c r="E17" s="1">
        <f>((100%-E15)*E7)/((1-E11))</f>
        <v>0.15333170731707316</v>
      </c>
      <c r="F17" s="1">
        <f>((100%-F15)*F7)/((1-F11))</f>
        <v>0.15333170731707316</v>
      </c>
      <c r="H17" s="1">
        <f>((100%-H15)*H7)/((1-H11))</f>
        <v>0.15333170731707316</v>
      </c>
      <c r="I17" s="1">
        <f>((100%-I15)*I7)/((1-I11))</f>
        <v>0.13839707317073172</v>
      </c>
      <c r="J17" s="1">
        <f>((100%-J15)*J7)/((1-J11))</f>
        <v>0.15333170731707316</v>
      </c>
      <c r="K17" s="1">
        <f>((100%-K15)*K7)/((1-K11))</f>
        <v>0.15333170731707316</v>
      </c>
    </row>
    <row r="18" spans="1:11" ht="12.75">
      <c r="A18" t="s">
        <v>51</v>
      </c>
      <c r="B18" t="s">
        <v>47</v>
      </c>
      <c r="C18" s="1">
        <f>((100%-C16)*C8)/(1-C11)</f>
        <v>0.35251463414634143</v>
      </c>
      <c r="D18" s="1">
        <f>((100%-D16)*D8)/(1-D11)</f>
        <v>0.38012634146341456</v>
      </c>
      <c r="E18" s="1">
        <f>((100%-E16)*E8)/(1-E11)</f>
        <v>0.35251463414634143</v>
      </c>
      <c r="F18" s="1">
        <f>((100%-F16)*F8)/(1-F11)</f>
        <v>0.35251463414634143</v>
      </c>
      <c r="H18" s="1">
        <f>((100%-H16)*H8)/(1-H11)</f>
        <v>0.35251463414634143</v>
      </c>
      <c r="I18" s="1">
        <f>((100%-I16)*I8)/(1-I11)</f>
        <v>0.38012634146341456</v>
      </c>
      <c r="J18" s="1">
        <f>((100%-J16)*J8)/(1-J11)</f>
        <v>0.35251463414634143</v>
      </c>
      <c r="K18" s="1">
        <f>((100%-K16)*K8)/(1-K11)</f>
        <v>0.35251463414634143</v>
      </c>
    </row>
    <row r="20" spans="1:11" ht="12.75">
      <c r="A20" t="s">
        <v>5</v>
      </c>
      <c r="B20" t="s">
        <v>12</v>
      </c>
      <c r="C20" s="3">
        <f>10^6</f>
        <v>1000000</v>
      </c>
      <c r="D20" s="3">
        <f>10^6</f>
        <v>1000000</v>
      </c>
      <c r="E20" s="3">
        <f>10^6</f>
        <v>1000000</v>
      </c>
      <c r="F20" s="3">
        <f>10^6</f>
        <v>1000000</v>
      </c>
      <c r="H20" s="3">
        <f>10^6</f>
        <v>1000000</v>
      </c>
      <c r="I20" s="3">
        <f>10^6</f>
        <v>1000000</v>
      </c>
      <c r="J20" s="3">
        <f>10^6</f>
        <v>1000000</v>
      </c>
      <c r="K20" s="3">
        <f>10^6</f>
        <v>1000000</v>
      </c>
    </row>
    <row r="21" spans="1:11" ht="12.75">
      <c r="A21" t="s">
        <v>7</v>
      </c>
      <c r="B21" t="s">
        <v>4</v>
      </c>
      <c r="C21" s="2">
        <f>(C20/C3)*(1-C4)</f>
        <v>150554.67511885896</v>
      </c>
      <c r="D21" s="2">
        <f>(D20/D3)*(1-D4)</f>
        <v>150554.67511885896</v>
      </c>
      <c r="E21" s="2">
        <f>(E20/E3)*(1-E4)</f>
        <v>150554.67511885896</v>
      </c>
      <c r="F21" s="2">
        <f>(F20/F3)*(1-F4)</f>
        <v>150554.67511885896</v>
      </c>
      <c r="H21" s="2">
        <f>(H20/H3)*(1-H4)</f>
        <v>172101.4492753623</v>
      </c>
      <c r="I21" s="2">
        <f>(I20/I3)*(1-I4)</f>
        <v>172101.4492753623</v>
      </c>
      <c r="J21" s="2">
        <f>(J20/J3)*(1-J4)</f>
        <v>172101.4492753623</v>
      </c>
      <c r="K21" s="2">
        <f>(K20/K3)*(1-K4)</f>
        <v>172101.4492753623</v>
      </c>
    </row>
    <row r="22" spans="1:11" ht="12.75">
      <c r="A22" t="s">
        <v>8</v>
      </c>
      <c r="B22" t="s">
        <v>4</v>
      </c>
      <c r="C22" s="2">
        <f>C21*C5*C6</f>
        <v>601616.4817749605</v>
      </c>
      <c r="D22" s="2">
        <f>D21*D5*D6</f>
        <v>601616.4817749605</v>
      </c>
      <c r="E22" s="2">
        <f>E21*E5*E6</f>
        <v>270998.41521394614</v>
      </c>
      <c r="F22" s="2">
        <f>F21*F5*F6</f>
        <v>812995.2456418384</v>
      </c>
      <c r="H22" s="2">
        <f>H21*H5*H6</f>
        <v>687717.3913043479</v>
      </c>
      <c r="I22" s="2">
        <f>I21*I5*I6</f>
        <v>687717.3913043479</v>
      </c>
      <c r="J22" s="2">
        <f>J21*J5*J6</f>
        <v>309782.60869565216</v>
      </c>
      <c r="K22" s="2">
        <f>K21*K5*K6</f>
        <v>929347.8260869565</v>
      </c>
    </row>
    <row r="23" spans="1:11" ht="12.75">
      <c r="A23" t="s">
        <v>9</v>
      </c>
      <c r="B23" t="s">
        <v>4</v>
      </c>
      <c r="C23">
        <f>C22*C17</f>
        <v>92246.88230064552</v>
      </c>
      <c r="D23">
        <f>D22*D17</f>
        <v>83261.9602489274</v>
      </c>
      <c r="E23">
        <f>E22*E17</f>
        <v>41552.649684975455</v>
      </c>
      <c r="F23">
        <f>F22*F17</f>
        <v>124657.94905492636</v>
      </c>
      <c r="G23" s="10"/>
      <c r="H23">
        <f>H22*H17</f>
        <v>105448.88176033934</v>
      </c>
      <c r="I23">
        <f>I22*I17</f>
        <v>95178.07412513257</v>
      </c>
      <c r="J23">
        <f>J22*J17</f>
        <v>47499.496288441136</v>
      </c>
      <c r="K23">
        <f>K22*K17</f>
        <v>142498.48886532342</v>
      </c>
    </row>
    <row r="24" spans="1:11" ht="12.75">
      <c r="A24" t="s">
        <v>25</v>
      </c>
      <c r="B24" t="s">
        <v>4</v>
      </c>
      <c r="C24">
        <f>C22*C18</f>
        <v>212078.61396930928</v>
      </c>
      <c r="D24">
        <f>D22*D18</f>
        <v>228690.27218120676</v>
      </c>
      <c r="E24">
        <f>E22*E18</f>
        <v>95530.90719338255</v>
      </c>
      <c r="F24">
        <f>F22*F18</f>
        <v>286592.7215801476</v>
      </c>
      <c r="G24" s="10"/>
      <c r="H24">
        <f>H22*H18</f>
        <v>242430.44459172853</v>
      </c>
      <c r="I24">
        <f>I22*I18</f>
        <v>261419.49591728524</v>
      </c>
      <c r="J24">
        <f>J22*J18</f>
        <v>109202.90296924706</v>
      </c>
      <c r="K24">
        <f>K22*K18</f>
        <v>327608.70890774124</v>
      </c>
    </row>
    <row r="25" spans="1:11" ht="12.75">
      <c r="A25" t="s">
        <v>6</v>
      </c>
      <c r="B25" t="s">
        <v>4</v>
      </c>
      <c r="C25">
        <f>C23*C9</f>
        <v>510.12525912256973</v>
      </c>
      <c r="D25">
        <f>D23*D9</f>
        <v>460.4386401765685</v>
      </c>
      <c r="E25">
        <f>E23*E9</f>
        <v>229.78615275791427</v>
      </c>
      <c r="F25">
        <f>F23*F9</f>
        <v>689.3584582737428</v>
      </c>
      <c r="H25">
        <f>H23*H9</f>
        <v>583.1323161346766</v>
      </c>
      <c r="I25">
        <f>I23*I9</f>
        <v>526.3347499119831</v>
      </c>
      <c r="J25">
        <f>J23*J9</f>
        <v>262.6722144750795</v>
      </c>
      <c r="K25">
        <f>K23*K9</f>
        <v>788.0166434252386</v>
      </c>
    </row>
    <row r="27" spans="1:11" ht="12.75">
      <c r="A27" t="s">
        <v>15</v>
      </c>
      <c r="C27" s="3">
        <f>C20/C22</f>
        <v>1.662188504293767</v>
      </c>
      <c r="D27" s="3">
        <f>D20/D22</f>
        <v>1.662188504293767</v>
      </c>
      <c r="E27" s="3">
        <f>E20/E22</f>
        <v>3.6900584795321634</v>
      </c>
      <c r="F27" s="3">
        <f>F20/F22</f>
        <v>1.2300194931773878</v>
      </c>
      <c r="H27" s="3">
        <f>H20/H22</f>
        <v>1.4540856646119802</v>
      </c>
      <c r="I27" s="3">
        <f>I20/I22</f>
        <v>1.4540856646119802</v>
      </c>
      <c r="J27" s="3">
        <f>J20/J22</f>
        <v>3.2280701754385968</v>
      </c>
      <c r="K27" s="3">
        <f>K20/K22</f>
        <v>1.0760233918128654</v>
      </c>
    </row>
    <row r="28" spans="1:11" ht="12.75">
      <c r="A28" t="s">
        <v>16</v>
      </c>
      <c r="C28" s="3">
        <f>C20/C23</f>
        <v>10.840474767926137</v>
      </c>
      <c r="D28" s="3">
        <f>D20/D23</f>
        <v>12.010286534334655</v>
      </c>
      <c r="E28" s="3">
        <f>E20/E23</f>
        <v>24.06585398479603</v>
      </c>
      <c r="F28" s="3">
        <f>F20/F23</f>
        <v>8.021951328265343</v>
      </c>
      <c r="H28" s="3">
        <f>H20/H23</f>
        <v>9.483267942781662</v>
      </c>
      <c r="I28" s="3">
        <f>I20/I23</f>
        <v>10.50662150071748</v>
      </c>
      <c r="J28" s="3">
        <f>J20/J23</f>
        <v>21.052854832975292</v>
      </c>
      <c r="K28" s="3">
        <f>K20/K23</f>
        <v>7.01761827765843</v>
      </c>
    </row>
    <row r="29" spans="1:11" ht="12.75">
      <c r="A29" t="s">
        <v>24</v>
      </c>
      <c r="C29" s="3">
        <f>C20/SUM(C23:C24)</f>
        <v>3.2859553742843173</v>
      </c>
      <c r="D29" s="3">
        <f>D20/SUM(D23:D24)</f>
        <v>3.205618989195608</v>
      </c>
      <c r="E29" s="3">
        <f>E20/SUM(E23:E24)</f>
        <v>7.294820930911185</v>
      </c>
      <c r="F29" s="3">
        <f>F20/SUM(F23:F24)</f>
        <v>2.4316069769703956</v>
      </c>
      <c r="H29" s="3">
        <f>H20/SUM(H23:H24)</f>
        <v>2.8745600104674223</v>
      </c>
      <c r="I29" s="3">
        <f>I20/SUM(I23:I24)</f>
        <v>2.80428158801264</v>
      </c>
      <c r="J29" s="3">
        <f>J20/SUM(J23:J24)</f>
        <v>6.381523223237679</v>
      </c>
      <c r="K29" s="3">
        <f>K20/SUM(K23:K24)</f>
        <v>2.1271744077458927</v>
      </c>
    </row>
    <row r="30" spans="1:11" ht="12.75">
      <c r="A30" t="s">
        <v>11</v>
      </c>
      <c r="B30" t="s">
        <v>4</v>
      </c>
      <c r="C30" s="3">
        <f>C20/C25</f>
        <v>1960.3028513428821</v>
      </c>
      <c r="D30" s="3">
        <f>D20/D25</f>
        <v>2171.8420496084364</v>
      </c>
      <c r="E30" s="3">
        <f>E20/E25</f>
        <v>4351.872329981199</v>
      </c>
      <c r="F30" s="3">
        <f>F20/F25</f>
        <v>1450.6241099937329</v>
      </c>
      <c r="H30" s="3">
        <f>H20/H25</f>
        <v>1714.8766623474976</v>
      </c>
      <c r="I30" s="3">
        <f>I20/I25</f>
        <v>1899.9315552834505</v>
      </c>
      <c r="J30" s="3">
        <f>J20/J25</f>
        <v>3807.0261904114454</v>
      </c>
      <c r="K30" s="3">
        <f>K20/K25</f>
        <v>1269.0087301371482</v>
      </c>
    </row>
    <row r="31" spans="3:11" ht="12.75">
      <c r="C31" s="3"/>
      <c r="D31" s="3"/>
      <c r="E31" s="3"/>
      <c r="F31" s="3"/>
      <c r="H31" s="3"/>
      <c r="I31" s="3"/>
      <c r="J31" s="3"/>
      <c r="K31" s="3"/>
    </row>
    <row r="32" spans="1:11" ht="12.75">
      <c r="A32" s="12" t="s">
        <v>54</v>
      </c>
      <c r="B32" t="s">
        <v>53</v>
      </c>
      <c r="C32" s="3"/>
      <c r="D32" s="3"/>
      <c r="E32" s="3"/>
      <c r="F32" s="3"/>
      <c r="H32" s="3"/>
      <c r="I32" s="3"/>
      <c r="J32" s="3"/>
      <c r="K32" s="3"/>
    </row>
    <row r="33" spans="1:11" ht="12.75">
      <c r="A33" s="13" t="s">
        <v>55</v>
      </c>
      <c r="B33">
        <f>AVERAGE(75.38,77.95)</f>
        <v>76.66499999999999</v>
      </c>
      <c r="C33" s="3">
        <f>C$30/$B33</f>
        <v>25.569723489765636</v>
      </c>
      <c r="D33" s="3">
        <f aca="true" t="shared" si="0" ref="D33:F35">D$30/$B33</f>
        <v>28.328990407727602</v>
      </c>
      <c r="E33" s="3">
        <f t="shared" si="0"/>
        <v>56.764786147279715</v>
      </c>
      <c r="F33" s="3">
        <f t="shared" si="0"/>
        <v>18.92159538242657</v>
      </c>
      <c r="H33" s="3">
        <f aca="true" t="shared" si="1" ref="H33:K35">H$30/$B33</f>
        <v>22.368442735896405</v>
      </c>
      <c r="I33" s="3">
        <f t="shared" si="1"/>
        <v>24.782254683146817</v>
      </c>
      <c r="J33" s="3">
        <f t="shared" si="1"/>
        <v>49.657942873690025</v>
      </c>
      <c r="K33" s="3">
        <f t="shared" si="1"/>
        <v>16.55264762456334</v>
      </c>
    </row>
    <row r="34" spans="1:11" ht="12.75">
      <c r="A34" s="13" t="s">
        <v>56</v>
      </c>
      <c r="B34">
        <f>AVERAGE(29.86,30.12)</f>
        <v>29.990000000000002</v>
      </c>
      <c r="C34" s="3">
        <f>C$30/$B34</f>
        <v>65.36521678369063</v>
      </c>
      <c r="D34" s="3">
        <f t="shared" si="0"/>
        <v>72.41887461181848</v>
      </c>
      <c r="E34" s="3">
        <f t="shared" si="0"/>
        <v>145.1107812597932</v>
      </c>
      <c r="F34" s="3">
        <f t="shared" si="0"/>
        <v>48.37026041993107</v>
      </c>
      <c r="H34" s="3">
        <f t="shared" si="1"/>
        <v>57.18161595023333</v>
      </c>
      <c r="I34" s="3">
        <f t="shared" si="1"/>
        <v>63.35216923252585</v>
      </c>
      <c r="J34" s="3">
        <f t="shared" si="1"/>
        <v>126.94318740951802</v>
      </c>
      <c r="K34" s="3">
        <f t="shared" si="1"/>
        <v>42.31439580317266</v>
      </c>
    </row>
    <row r="35" spans="1:11" ht="12.75">
      <c r="A35" s="13" t="s">
        <v>57</v>
      </c>
      <c r="B35">
        <f>AVERAGE(36.46,36.59)</f>
        <v>36.525000000000006</v>
      </c>
      <c r="C35" s="3">
        <f>C$30/$B35</f>
        <v>53.670167045664115</v>
      </c>
      <c r="D35" s="3">
        <f t="shared" si="0"/>
        <v>59.46179465047053</v>
      </c>
      <c r="E35" s="3">
        <f t="shared" si="0"/>
        <v>119.14777084137435</v>
      </c>
      <c r="F35" s="3">
        <f t="shared" si="0"/>
        <v>39.715923613791446</v>
      </c>
      <c r="H35" s="3">
        <f t="shared" si="1"/>
        <v>46.95076419842566</v>
      </c>
      <c r="I35" s="3">
        <f t="shared" si="1"/>
        <v>52.01729104129912</v>
      </c>
      <c r="J35" s="3">
        <f t="shared" si="1"/>
        <v>104.23069652050499</v>
      </c>
      <c r="K35" s="3">
        <f t="shared" si="1"/>
        <v>34.74356550683499</v>
      </c>
    </row>
    <row r="36" spans="3:11" ht="12.75">
      <c r="C36" s="3"/>
      <c r="D36" s="3"/>
      <c r="E36" s="3"/>
      <c r="F36" s="3"/>
      <c r="H36" s="3"/>
      <c r="I36" s="3"/>
      <c r="J36" s="3"/>
      <c r="K36" s="3"/>
    </row>
    <row r="37" ht="12.75">
      <c r="A37" s="12" t="s">
        <v>41</v>
      </c>
    </row>
    <row r="38" spans="1:11" ht="12.75">
      <c r="A38" t="s">
        <v>26</v>
      </c>
      <c r="B38" t="s">
        <v>60</v>
      </c>
      <c r="C38" s="2">
        <f>C30/C29</f>
        <v>596.5701380743301</v>
      </c>
      <c r="D38" s="2">
        <f>D30/D29</f>
        <v>677.5109758609899</v>
      </c>
      <c r="E38" s="2">
        <f>E30/E29</f>
        <v>596.5701380743301</v>
      </c>
      <c r="F38" s="2">
        <f>F30/F29</f>
        <v>596.5701380743299</v>
      </c>
      <c r="H38" s="2">
        <f>H30/H29</f>
        <v>596.57013807433</v>
      </c>
      <c r="I38" s="2">
        <f>I30/I29</f>
        <v>677.51097586099</v>
      </c>
      <c r="J38" s="2">
        <f>J30/J29</f>
        <v>596.57013807433</v>
      </c>
      <c r="K38" s="2">
        <f>K30/K29</f>
        <v>596.5701380743299</v>
      </c>
    </row>
    <row r="39" spans="1:11" ht="12.75">
      <c r="A39" t="s">
        <v>27</v>
      </c>
      <c r="B39" t="s">
        <v>44</v>
      </c>
      <c r="C39">
        <f>C38/10</f>
        <v>59.65701380743301</v>
      </c>
      <c r="D39">
        <f>D38/10</f>
        <v>67.751097586099</v>
      </c>
      <c r="E39">
        <f>E38/10</f>
        <v>59.65701380743301</v>
      </c>
      <c r="F39">
        <f>F38/10</f>
        <v>59.65701380743299</v>
      </c>
      <c r="H39">
        <f>H38/10</f>
        <v>59.657013807432996</v>
      </c>
      <c r="I39">
        <f>I38/10</f>
        <v>67.75109758609901</v>
      </c>
      <c r="J39">
        <f>J38/10</f>
        <v>59.657013807432996</v>
      </c>
      <c r="K39">
        <f>K38/10</f>
        <v>59.65701380743299</v>
      </c>
    </row>
    <row r="40" spans="1:11" ht="12.75">
      <c r="A40" t="s">
        <v>42</v>
      </c>
      <c r="B40" s="7" t="s">
        <v>43</v>
      </c>
      <c r="C40">
        <v>0.66</v>
      </c>
      <c r="D40">
        <v>0.66</v>
      </c>
      <c r="E40">
        <v>0.66</v>
      </c>
      <c r="F40">
        <v>0.66</v>
      </c>
      <c r="H40">
        <v>0.54</v>
      </c>
      <c r="I40">
        <v>0.54</v>
      </c>
      <c r="J40">
        <v>0.54</v>
      </c>
      <c r="K40">
        <v>0.54</v>
      </c>
    </row>
    <row r="41" spans="1:11" ht="12.75">
      <c r="A41" t="s">
        <v>28</v>
      </c>
      <c r="B41" t="s">
        <v>46</v>
      </c>
      <c r="C41" s="2">
        <f>C30/(10*C40)</f>
        <v>297.0155835368003</v>
      </c>
      <c r="D41" s="2">
        <f>D30/(10*D40)</f>
        <v>329.0669772133994</v>
      </c>
      <c r="E41" s="2">
        <f>E30/(10*E40)</f>
        <v>659.3745954516968</v>
      </c>
      <c r="F41" s="2">
        <f>F30/(10*F40)</f>
        <v>219.79153181723223</v>
      </c>
      <c r="H41" s="2">
        <f>H30/(10*H40)</f>
        <v>317.5697522865736</v>
      </c>
      <c r="I41" s="2">
        <f>I30/(10*I40)</f>
        <v>351.83917690434265</v>
      </c>
      <c r="J41" s="2">
        <f>J30/(10*J40)</f>
        <v>705.0048500761935</v>
      </c>
      <c r="K41" s="2">
        <f>K30/(10*K40)</f>
        <v>235.00161669206446</v>
      </c>
    </row>
    <row r="42" spans="1:11" ht="12.75">
      <c r="A42" t="s">
        <v>29</v>
      </c>
      <c r="B42" t="s">
        <v>61</v>
      </c>
      <c r="C42" s="2">
        <f>C41-C39</f>
        <v>237.3585697293673</v>
      </c>
      <c r="D42" s="2">
        <f>D41-D39</f>
        <v>261.31587962730043</v>
      </c>
      <c r="E42" s="2">
        <f>E41-E39</f>
        <v>599.7175816442638</v>
      </c>
      <c r="F42" s="2">
        <f>F41-F39</f>
        <v>160.13451800979925</v>
      </c>
      <c r="H42" s="2">
        <f>H41-H39</f>
        <v>257.9127384791406</v>
      </c>
      <c r="I42" s="2">
        <f>I41-I39</f>
        <v>284.0880793182437</v>
      </c>
      <c r="J42" s="2">
        <f>J41-J39</f>
        <v>645.3478362687605</v>
      </c>
      <c r="K42" s="2">
        <f>K41-K39</f>
        <v>175.34460288463146</v>
      </c>
    </row>
    <row r="43" spans="3:8" ht="12.75">
      <c r="C43" s="2"/>
      <c r="H43" s="2"/>
    </row>
    <row r="44" spans="1:11" ht="12.75">
      <c r="A44" t="s">
        <v>34</v>
      </c>
      <c r="B44" t="s">
        <v>62</v>
      </c>
      <c r="C44" s="2">
        <f>C41/C39</f>
        <v>4.978720264067147</v>
      </c>
      <c r="D44" s="2">
        <f>D41/D39</f>
        <v>4.856998468478193</v>
      </c>
      <c r="E44" s="2">
        <f>E41/E39</f>
        <v>11.052758986229067</v>
      </c>
      <c r="F44" s="2">
        <f>F41/F39</f>
        <v>3.68425299540969</v>
      </c>
      <c r="H44" s="2">
        <f>H41/H39</f>
        <v>5.323259278643374</v>
      </c>
      <c r="I44" s="2">
        <f>I41/I39</f>
        <v>5.193114051875258</v>
      </c>
      <c r="J44" s="2">
        <f>J41/J39</f>
        <v>11.817635598588293</v>
      </c>
      <c r="K44" s="2">
        <f>K41/K39</f>
        <v>3.9392118661960973</v>
      </c>
    </row>
    <row r="45" ht="12.75">
      <c r="D45" s="2"/>
    </row>
    <row r="46" spans="3:11" ht="12.75">
      <c r="C46" s="2"/>
      <c r="D46" s="2"/>
      <c r="E46" s="2"/>
      <c r="F46" s="2"/>
      <c r="G46" s="11"/>
      <c r="H46" s="2"/>
      <c r="I46" s="2"/>
      <c r="J46" s="2"/>
      <c r="K46" s="2"/>
    </row>
    <row r="47" spans="3:11" ht="12.75">
      <c r="C47" s="2"/>
      <c r="D47" s="2"/>
      <c r="E47" s="2"/>
      <c r="F47" s="2"/>
      <c r="G47" s="11"/>
      <c r="H47" s="2"/>
      <c r="I47" s="2"/>
      <c r="J47" s="2"/>
      <c r="K47" s="2"/>
    </row>
    <row r="48" spans="3:11" ht="12.75">
      <c r="C48" s="2"/>
      <c r="D48" s="2"/>
      <c r="E48" s="2"/>
      <c r="F48" s="2"/>
      <c r="H48" s="2"/>
      <c r="I48" s="2"/>
      <c r="J48" s="2"/>
      <c r="K48" s="2"/>
    </row>
  </sheetData>
  <hyperlinks>
    <hyperlink ref="B3" r:id="rId1" display="http://www.givewell.org/node/1798#Whatdoyougetforyourdollar"/>
    <hyperlink ref="B40" r:id="rId2" display="http://www.givewell.org/node/1806#Whatdoyougetforyourdollar"/>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Holden Karnofsky</dc:creator>
  <cp:keywords/>
  <dc:description/>
  <cp:lastModifiedBy>Holden Karnofsky</cp:lastModifiedBy>
  <dcterms:created xsi:type="dcterms:W3CDTF">2011-11-13T00:58:47Z</dcterms:created>
  <dcterms:modified xsi:type="dcterms:W3CDTF">2011-11-25T16:22:13Z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