
<file path=[Content_Types].xml><?xml version="1.0" encoding="utf-8"?>
<Types xmlns="http://schemas.openxmlformats.org/package/2006/content-types">
  <Default Extension="xml" ContentType="application/xml"/>
  <Default Extension="jpeg" ContentType="image/jpeg"/>
  <Default Extension="vml" ContentType="application/vnd.openxmlformats-officedocument.vmlDrawing"/>
  <Default Extension="rels" ContentType="application/vnd.openxmlformats-package.relationships+xml"/>
  <Default Extension="emf" ContentType="image/x-em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3.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omments4.xml" ContentType="application/vnd.openxmlformats-officedocument.spreadsheetml.comments+xml"/>
  <Override PartName="/xl/drawings/drawing7.xml" ContentType="application/vnd.openxmlformats-officedocument.drawing+xml"/>
  <Override PartName="/xl/comments5.xml" ContentType="application/vnd.openxmlformats-officedocument.spreadsheetml.comments+xml"/>
  <Override PartName="/xl/charts/chart3.xml" ContentType="application/vnd.openxmlformats-officedocument.drawingml.chart+xml"/>
  <Override PartName="/xl/comments6.xml" ContentType="application/vnd.openxmlformats-officedocument.spreadsheetml.comments+xml"/>
  <Override PartName="/xl/comments7.xml" ContentType="application/vnd.openxmlformats-officedocument.spreadsheetml.comments+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6519"/>
  <workbookPr filterPrivacy="1" showInkAnnotation="0" autoCompressPictures="0"/>
  <bookViews>
    <workbookView xWindow="0" yWindow="0" windowWidth="25520" windowHeight="15600" tabRatio="1000" activeTab="7"/>
  </bookViews>
  <sheets>
    <sheet name="2015-Total spend + efficiency" sheetId="17" r:id="rId1"/>
    <sheet name="2015-Past P&amp;L" sheetId="14" r:id="rId2"/>
    <sheet name="2015-Future budget" sheetId="16" r:id="rId3"/>
    <sheet name="2015-Commitments by month" sheetId="13" r:id="rId4"/>
    <sheet name="2015-Balance Sheet" sheetId="18" r:id="rId5"/>
    <sheet name="2015-Fundraising costs" sheetId="12" r:id="rId6"/>
    <sheet name="2015-Rate of money moved" sheetId="21" r:id="rId7"/>
    <sheet name="2015-RFMF scenarios" sheetId="19" r:id="rId8"/>
    <sheet name="2014 -Total expenses" sheetId="10" r:id="rId9"/>
    <sheet name="2014 -Revenue and transfers" sheetId="1" r:id="rId10"/>
    <sheet name="Campaign efficiency FY 2014" sheetId="8" r:id="rId11"/>
    <sheet name="Campaign efficiency FY 2013" sheetId="7" r:id="rId12"/>
    <sheet name="Set up &amp; marketing costs FY2014" sheetId="9" r:id="rId13"/>
    <sheet name="Set up &amp; marketing costs FY2013" sheetId="11" r:id="rId14"/>
    <sheet name="Funding in the bank" sheetId="4" r:id="rId15"/>
    <sheet name="20141017 RFMF scenarios" sheetId="5" r:id="rId16"/>
  </sheets>
  <externalReferences>
    <externalReference r:id="rId17"/>
  </externalReferences>
  <definedNames>
    <definedName name="Lag" localSheetId="6">#REF!</definedName>
    <definedName name="Lag">#REF!</definedName>
    <definedName name="_xlnm.Print_Titles" localSheetId="4">'2015-Balance Sheet'!$A:$F,'2015-Balance Sheet'!$1:$1</definedName>
    <definedName name="_xlnm.Print_Titles" localSheetId="3">'2015-Commitments by month'!$A:$F,'2015-Commitments by month'!$1:$1</definedName>
    <definedName name="_xlnm.Print_Titles" localSheetId="5">'2015-Fundraising costs'!$A:$G,'2015-Fundraising costs'!$1:$1</definedName>
    <definedName name="_xlnm.Print_Titles" localSheetId="2">'2015-Future budget'!$A:$G,'2015-Future budget'!$4:$6</definedName>
    <definedName name="_xlnm.Print_Titles" localSheetId="1">'2015-Past P&amp;L'!$A:$H,'2015-Past P&amp;L'!$4:$5</definedName>
    <definedName name="QB_BASIS_4" localSheetId="2" hidden="1">'2015-Future budget'!$S$3</definedName>
    <definedName name="QB_BASIS_4" localSheetId="1" hidden="1">'2015-Past P&amp;L'!$AS$3</definedName>
    <definedName name="QB_COLUMN_102200" localSheetId="1" hidden="1">'2015-Past P&amp;L'!$S$4</definedName>
    <definedName name="QB_COLUMN_102201" localSheetId="1" hidden="1">'2015-Past P&amp;L'!$S$5</definedName>
    <definedName name="QB_COLUMN_112200" localSheetId="1" hidden="1">'2015-Past P&amp;L'!$V$4</definedName>
    <definedName name="QB_COLUMN_112201" localSheetId="1" hidden="1">'2015-Past P&amp;L'!$V$5</definedName>
    <definedName name="QB_COLUMN_12200" localSheetId="2" hidden="1">'2015-Future budget'!$Q$4</definedName>
    <definedName name="QB_COLUMN_12200" localSheetId="1" hidden="1">'2015-Past P&amp;L'!$AH$4</definedName>
    <definedName name="QB_COLUMN_12201" localSheetId="2" hidden="1">'2015-Future budget'!$Q$5</definedName>
    <definedName name="QB_COLUMN_12201" localSheetId="1" hidden="1">'2015-Past P&amp;L'!$AH$5</definedName>
    <definedName name="QB_COLUMN_122200" localSheetId="1" hidden="1">'2015-Past P&amp;L'!$J$4</definedName>
    <definedName name="QB_COLUMN_122201" localSheetId="1" hidden="1">'2015-Past P&amp;L'!$J$5</definedName>
    <definedName name="QB_COLUMN_132200" localSheetId="1" hidden="1">'2015-Past P&amp;L'!$AI$4</definedName>
    <definedName name="QB_COLUMN_132201" localSheetId="1" hidden="1">'2015-Past P&amp;L'!$AI$5</definedName>
    <definedName name="QB_COLUMN_152200" localSheetId="1" hidden="1">'2015-Past P&amp;L'!$AJ$4</definedName>
    <definedName name="QB_COLUMN_152201" localSheetId="1" hidden="1">'2015-Past P&amp;L'!$AJ$5</definedName>
    <definedName name="QB_COLUMN_1562300" localSheetId="2" hidden="1">'2015-Future budget'!$N$4</definedName>
    <definedName name="QB_COLUMN_1562300" localSheetId="1" hidden="1">'2015-Past P&amp;L'!$AB$4</definedName>
    <definedName name="QB_COLUMN_1562301" localSheetId="2" hidden="1">'2015-Future budget'!$N$5</definedName>
    <definedName name="QB_COLUMN_1562301" localSheetId="1" hidden="1">'2015-Past P&amp;L'!$AB$5</definedName>
    <definedName name="QB_COLUMN_162200" localSheetId="1" hidden="1">'2015-Past P&amp;L'!$AM$4</definedName>
    <definedName name="QB_COLUMN_162201" localSheetId="1" hidden="1">'2015-Past P&amp;L'!$AM$5</definedName>
    <definedName name="QB_COLUMN_1632101" localSheetId="1" hidden="1">'2015-Past P&amp;L'!$I$5</definedName>
    <definedName name="QB_COLUMN_1792300" localSheetId="2" hidden="1">'2015-Future budget'!$O$4</definedName>
    <definedName name="QB_COLUMN_1792300" localSheetId="1" hidden="1">'2015-Past P&amp;L'!$AC$4</definedName>
    <definedName name="QB_COLUMN_1792301" localSheetId="2" hidden="1">'2015-Future budget'!$O$5</definedName>
    <definedName name="QB_COLUMN_1792301" localSheetId="1" hidden="1">'2015-Past P&amp;L'!$AC$5</definedName>
    <definedName name="QB_COLUMN_182200" localSheetId="1" hidden="1">'2015-Past P&amp;L'!$AL$4</definedName>
    <definedName name="QB_COLUMN_182201" localSheetId="1" hidden="1">'2015-Past P&amp;L'!$AL$5</definedName>
    <definedName name="QB_COLUMN_1882200" localSheetId="2" hidden="1">'2015-Future budget'!$J$4</definedName>
    <definedName name="QB_COLUMN_1882200" localSheetId="1" hidden="1">'2015-Past P&amp;L'!$T$4</definedName>
    <definedName name="QB_COLUMN_1882201" localSheetId="2" hidden="1">'2015-Future budget'!$J$5</definedName>
    <definedName name="QB_COLUMN_1882201" localSheetId="1" hidden="1">'2015-Past P&amp;L'!$T$5</definedName>
    <definedName name="QB_COLUMN_1892200" localSheetId="1" hidden="1">'2015-Past P&amp;L'!$AO$4</definedName>
    <definedName name="QB_COLUMN_1892201" localSheetId="1" hidden="1">'2015-Past P&amp;L'!$AO$5</definedName>
    <definedName name="QB_COLUMN_1952200" localSheetId="2" hidden="1">'2015-Future budget'!$H$4</definedName>
    <definedName name="QB_COLUMN_1952200" localSheetId="1" hidden="1">'2015-Past P&amp;L'!$M$4</definedName>
    <definedName name="QB_COLUMN_1952201" localSheetId="2" hidden="1">'2015-Future budget'!$H$5</definedName>
    <definedName name="QB_COLUMN_1952201" localSheetId="1" hidden="1">'2015-Past P&amp;L'!$M$5</definedName>
    <definedName name="QB_COLUMN_1962200" localSheetId="1" hidden="1">'2015-Past P&amp;L'!$N$4</definedName>
    <definedName name="QB_COLUMN_1962201" localSheetId="1" hidden="1">'2015-Past P&amp;L'!$N$5</definedName>
    <definedName name="QB_COLUMN_1972200" localSheetId="1" hidden="1">'2015-Past P&amp;L'!$AK$4</definedName>
    <definedName name="QB_COLUMN_1972201" localSheetId="1" hidden="1">'2015-Past P&amp;L'!$AK$5</definedName>
    <definedName name="QB_COLUMN_2263101" localSheetId="1" hidden="1">'2015-Past P&amp;L'!$Y$5</definedName>
    <definedName name="QB_COLUMN_2272200" localSheetId="1" hidden="1">'2015-Past P&amp;L'!$X$4</definedName>
    <definedName name="QB_COLUMN_2272201" localSheetId="1" hidden="1">'2015-Past P&amp;L'!$X$5</definedName>
    <definedName name="QB_COLUMN_23101" localSheetId="2" hidden="1">'2015-Future budget'!$I$5</definedName>
    <definedName name="QB_COLUMN_23101" localSheetId="1" hidden="1">'2015-Past P&amp;L'!$R$5</definedName>
    <definedName name="QB_COLUMN_2522200" localSheetId="1" hidden="1">'2015-Past P&amp;L'!$AN$4</definedName>
    <definedName name="QB_COLUMN_2522201" localSheetId="1" hidden="1">'2015-Past P&amp;L'!$AN$5</definedName>
    <definedName name="QB_COLUMN_2562200" localSheetId="1" hidden="1">'2015-Past P&amp;L'!$K$4</definedName>
    <definedName name="QB_COLUMN_2562201" localSheetId="1" hidden="1">'2015-Past P&amp;L'!$K$5</definedName>
    <definedName name="QB_COLUMN_2583101" localSheetId="2" hidden="1">'2015-Future budget'!$R$5</definedName>
    <definedName name="QB_COLUMN_2583101" localSheetId="1" hidden="1">'2015-Past P&amp;L'!$AP$5</definedName>
    <definedName name="QB_COLUMN_2592101" localSheetId="1" hidden="1">'2015-Past P&amp;L'!$AQ$5</definedName>
    <definedName name="QB_COLUMN_2603200" localSheetId="2" hidden="1">'2015-Future budget'!$P$4</definedName>
    <definedName name="QB_COLUMN_2603200" localSheetId="1" hidden="1">'2015-Past P&amp;L'!$AE$4</definedName>
    <definedName name="QB_COLUMN_2603201" localSheetId="2" hidden="1">'2015-Future budget'!$P$5</definedName>
    <definedName name="QB_COLUMN_2603201" localSheetId="1" hidden="1">'2015-Past P&amp;L'!$AE$5</definedName>
    <definedName name="QB_COLUMN_2692200" localSheetId="2" hidden="1">'2015-Future budget'!$K$4</definedName>
    <definedName name="QB_COLUMN_2692200" localSheetId="1" hidden="1">'2015-Past P&amp;L'!$U$4</definedName>
    <definedName name="QB_COLUMN_2692201" localSheetId="2" hidden="1">'2015-Future budget'!$K$5</definedName>
    <definedName name="QB_COLUMN_2692201" localSheetId="1" hidden="1">'2015-Past P&amp;L'!$U$5</definedName>
    <definedName name="QB_COLUMN_29" localSheetId="4" hidden="1">'2015-Balance Sheet'!$G$1</definedName>
    <definedName name="QB_COLUMN_2921" localSheetId="3" hidden="1">'2015-Commitments by month'!$G$1</definedName>
    <definedName name="QB_COLUMN_2921" localSheetId="5" hidden="1">'2015-Fundraising costs'!$H$1</definedName>
    <definedName name="QB_COLUMN_29210" localSheetId="3" hidden="1">'2015-Commitments by month'!$Y$1</definedName>
    <definedName name="QB_COLUMN_29210" localSheetId="5" hidden="1">'2015-Fundraising costs'!$Z$1</definedName>
    <definedName name="QB_COLUMN_29211" localSheetId="3" hidden="1">'2015-Commitments by month'!$AA$1</definedName>
    <definedName name="QB_COLUMN_29211" localSheetId="5" hidden="1">'2015-Fundraising costs'!$AB$1</definedName>
    <definedName name="QB_COLUMN_29212" localSheetId="3" hidden="1">'2015-Commitments by month'!$AC$1</definedName>
    <definedName name="QB_COLUMN_29212" localSheetId="5" hidden="1">'2015-Fundraising costs'!$AD$1</definedName>
    <definedName name="QB_COLUMN_29213" localSheetId="3" hidden="1">'2015-Commitments by month'!$AE$1</definedName>
    <definedName name="QB_COLUMN_29213" localSheetId="5" hidden="1">'2015-Fundraising costs'!$AF$1</definedName>
    <definedName name="QB_COLUMN_29214" localSheetId="3" hidden="1">'2015-Commitments by month'!$AG$1</definedName>
    <definedName name="QB_COLUMN_29214" localSheetId="5" hidden="1">'2015-Fundraising costs'!$AH$1</definedName>
    <definedName name="QB_COLUMN_29215" localSheetId="3" hidden="1">'2015-Commitments by month'!$AI$1</definedName>
    <definedName name="QB_COLUMN_29215" localSheetId="5" hidden="1">'2015-Fundraising costs'!$AJ$1</definedName>
    <definedName name="QB_COLUMN_29216" localSheetId="3" hidden="1">'2015-Commitments by month'!$AK$1</definedName>
    <definedName name="QB_COLUMN_29216" localSheetId="5" hidden="1">'2015-Fundraising costs'!$AL$1</definedName>
    <definedName name="QB_COLUMN_29217" localSheetId="3" hidden="1">'2015-Commitments by month'!$AM$1</definedName>
    <definedName name="QB_COLUMN_29217" localSheetId="5" hidden="1">'2015-Fundraising costs'!$AN$1</definedName>
    <definedName name="QB_COLUMN_29218" localSheetId="3" hidden="1">'2015-Commitments by month'!$AO$1</definedName>
    <definedName name="QB_COLUMN_29218" localSheetId="5" hidden="1">'2015-Fundraising costs'!$AP$1</definedName>
    <definedName name="QB_COLUMN_29219" localSheetId="3" hidden="1">'2015-Commitments by month'!$AQ$1</definedName>
    <definedName name="QB_COLUMN_29219" localSheetId="5" hidden="1">'2015-Fundraising costs'!$AR$1</definedName>
    <definedName name="QB_COLUMN_2922" localSheetId="3" hidden="1">'2015-Commitments by month'!$I$1</definedName>
    <definedName name="QB_COLUMN_2922" localSheetId="5" hidden="1">'2015-Fundraising costs'!$J$1</definedName>
    <definedName name="QB_COLUMN_29220" localSheetId="3" hidden="1">'2015-Commitments by month'!$AS$1</definedName>
    <definedName name="QB_COLUMN_29220" localSheetId="5" hidden="1">'2015-Fundraising costs'!$AT$1</definedName>
    <definedName name="QB_COLUMN_29221" localSheetId="3" hidden="1">'2015-Commitments by month'!$AU$1</definedName>
    <definedName name="QB_COLUMN_29221" localSheetId="5" hidden="1">'2015-Fundraising costs'!$AV$1</definedName>
    <definedName name="QB_COLUMN_29222" localSheetId="3" hidden="1">'2015-Commitments by month'!$AW$1</definedName>
    <definedName name="QB_COLUMN_29222" localSheetId="5" hidden="1">'2015-Fundraising costs'!$AX$1</definedName>
    <definedName name="QB_COLUMN_2923" localSheetId="3" hidden="1">'2015-Commitments by month'!$K$1</definedName>
    <definedName name="QB_COLUMN_2923" localSheetId="5" hidden="1">'2015-Fundraising costs'!$L$1</definedName>
    <definedName name="QB_COLUMN_2924" localSheetId="3" hidden="1">'2015-Commitments by month'!$M$1</definedName>
    <definedName name="QB_COLUMN_2924" localSheetId="5" hidden="1">'2015-Fundraising costs'!$N$1</definedName>
    <definedName name="QB_COLUMN_2925" localSheetId="3" hidden="1">'2015-Commitments by month'!$O$1</definedName>
    <definedName name="QB_COLUMN_2925" localSheetId="5" hidden="1">'2015-Fundraising costs'!$P$1</definedName>
    <definedName name="QB_COLUMN_2926" localSheetId="3" hidden="1">'2015-Commitments by month'!$Q$1</definedName>
    <definedName name="QB_COLUMN_2926" localSheetId="5" hidden="1">'2015-Fundraising costs'!$R$1</definedName>
    <definedName name="QB_COLUMN_2927" localSheetId="3" hidden="1">'2015-Commitments by month'!$S$1</definedName>
    <definedName name="QB_COLUMN_2927" localSheetId="5" hidden="1">'2015-Fundraising costs'!$T$1</definedName>
    <definedName name="QB_COLUMN_2928" localSheetId="3" hidden="1">'2015-Commitments by month'!$U$1</definedName>
    <definedName name="QB_COLUMN_2928" localSheetId="5" hidden="1">'2015-Fundraising costs'!$V$1</definedName>
    <definedName name="QB_COLUMN_2929" localSheetId="3" hidden="1">'2015-Commitments by month'!$W$1</definedName>
    <definedName name="QB_COLUMN_2929" localSheetId="5" hidden="1">'2015-Fundraising costs'!$X$1</definedName>
    <definedName name="QB_COLUMN_2930" localSheetId="3" hidden="1">'2015-Commitments by month'!$AY$1</definedName>
    <definedName name="QB_COLUMN_2930" localSheetId="5" hidden="1">'2015-Fundraising costs'!$AZ$1</definedName>
    <definedName name="QB_COLUMN_2943200" localSheetId="1" hidden="1">'2015-Past P&amp;L'!$AG$4</definedName>
    <definedName name="QB_COLUMN_2943201" localSheetId="1" hidden="1">'2015-Past P&amp;L'!$AG$5</definedName>
    <definedName name="QB_COLUMN_2952300" localSheetId="1" hidden="1">'2015-Past P&amp;L'!$AF$4</definedName>
    <definedName name="QB_COLUMN_2952301" localSheetId="1" hidden="1">'2015-Past P&amp;L'!$AF$5</definedName>
    <definedName name="QB_COLUMN_3042200" localSheetId="1" hidden="1">'2015-Past P&amp;L'!$L$4</definedName>
    <definedName name="QB_COLUMN_3042201" localSheetId="1" hidden="1">'2015-Past P&amp;L'!$L$5</definedName>
    <definedName name="QB_COLUMN_32300" localSheetId="1" hidden="1">'2015-Past P&amp;L'!$AD$4</definedName>
    <definedName name="QB_COLUMN_32301" localSheetId="1" hidden="1">'2015-Past P&amp;L'!$AD$5</definedName>
    <definedName name="QB_COLUMN_42300" localSheetId="1" hidden="1">'2015-Past P&amp;L'!$Z$4</definedName>
    <definedName name="QB_COLUMN_42301" localSheetId="1" hidden="1">'2015-Past P&amp;L'!$Z$5</definedName>
    <definedName name="QB_COLUMN_423011" localSheetId="2" hidden="1">'2015-Future budget'!$S$5</definedName>
    <definedName name="QB_COLUMN_423011" localSheetId="1" hidden="1">'2015-Past P&amp;L'!$AS$5</definedName>
    <definedName name="QB_COLUMN_452111" localSheetId="1" hidden="1">'2015-Past P&amp;L'!$AR$5</definedName>
    <definedName name="QB_COLUMN_52200" localSheetId="1" hidden="1">'2015-Past P&amp;L'!$O$4</definedName>
    <definedName name="QB_COLUMN_52201" localSheetId="1" hidden="1">'2015-Past P&amp;L'!$O$5</definedName>
    <definedName name="QB_COLUMN_62200" localSheetId="1" hidden="1">'2015-Past P&amp;L'!$P$4</definedName>
    <definedName name="QB_COLUMN_62201" localSheetId="1" hidden="1">'2015-Past P&amp;L'!$P$5</definedName>
    <definedName name="QB_COLUMN_72300" localSheetId="2" hidden="1">'2015-Future budget'!$M$4</definedName>
    <definedName name="QB_COLUMN_72300" localSheetId="1" hidden="1">'2015-Past P&amp;L'!$AA$4</definedName>
    <definedName name="QB_COLUMN_72301" localSheetId="2" hidden="1">'2015-Future budget'!$M$5</definedName>
    <definedName name="QB_COLUMN_72301" localSheetId="1" hidden="1">'2015-Past P&amp;L'!$AA$5</definedName>
    <definedName name="QB_COLUMN_76201" localSheetId="2" hidden="1">'2015-Future budget'!$Q$6</definedName>
    <definedName name="QB_COLUMN_7620156" localSheetId="2" hidden="1">'2015-Future budget'!$N$6</definedName>
    <definedName name="QB_COLUMN_7620179" localSheetId="2" hidden="1">'2015-Future budget'!$O$6</definedName>
    <definedName name="QB_COLUMN_7620188" localSheetId="2" hidden="1">'2015-Future budget'!$J$6</definedName>
    <definedName name="QB_COLUMN_7620195" localSheetId="2" hidden="1">'2015-Future budget'!$H$6</definedName>
    <definedName name="QB_COLUMN_7620269" localSheetId="2" hidden="1">'2015-Future budget'!$K$6</definedName>
    <definedName name="QB_COLUMN_76207" localSheetId="2" hidden="1">'2015-Future budget'!$M$6</definedName>
    <definedName name="QB_COLUMN_76300" localSheetId="2" hidden="1">'2015-Future budget'!$S$6</definedName>
    <definedName name="QB_COLUMN_76302" localSheetId="2" hidden="1">'2015-Future budget'!$I$6</definedName>
    <definedName name="QB_COLUMN_7630258" localSheetId="2" hidden="1">'2015-Future budget'!$R$6</definedName>
    <definedName name="QB_COLUMN_7630260" localSheetId="2" hidden="1">'2015-Future budget'!$P$6</definedName>
    <definedName name="QB_COLUMN_76309" localSheetId="2" hidden="1">'2015-Future budget'!$L$6</definedName>
    <definedName name="QB_COLUMN_82200" localSheetId="1" hidden="1">'2015-Past P&amp;L'!$Q$4</definedName>
    <definedName name="QB_COLUMN_82201" localSheetId="1" hidden="1">'2015-Past P&amp;L'!$Q$5</definedName>
    <definedName name="QB_COLUMN_93101" localSheetId="2" hidden="1">'2015-Future budget'!$L$5</definedName>
    <definedName name="QB_COLUMN_93101" localSheetId="1" hidden="1">'2015-Past P&amp;L'!$W$5</definedName>
    <definedName name="QB_COMPANY_0" localSheetId="2" hidden="1">'2015-Future budget'!$A$1</definedName>
    <definedName name="QB_COMPANY_0" localSheetId="1" hidden="1">'2015-Past P&amp;L'!$A$1</definedName>
    <definedName name="QB_DATA_0" localSheetId="4" hidden="1">'2015-Balance Sheet'!$5:$5,'2015-Balance Sheet'!$6:$6,'2015-Balance Sheet'!$7:$7,'2015-Balance Sheet'!$8:$8,'2015-Balance Sheet'!$9:$9,'2015-Balance Sheet'!$10:$10,'2015-Balance Sheet'!$11:$11,'2015-Balance Sheet'!$12:$12,'2015-Balance Sheet'!$13:$13,'2015-Balance Sheet'!$14:$14,'2015-Balance Sheet'!$15:$15,'2015-Balance Sheet'!$16:$16,'2015-Balance Sheet'!$17:$17,'2015-Balance Sheet'!$18:$18,'2015-Balance Sheet'!$19:$19,'2015-Balance Sheet'!$20:$20</definedName>
    <definedName name="QB_DATA_0" localSheetId="3" hidden="1">'2015-Commitments by month'!$2:$2,'2015-Commitments by month'!$3:$3</definedName>
    <definedName name="QB_DATA_0" localSheetId="5" hidden="1">'2015-Fundraising costs'!$4:$4,'2015-Fundraising costs'!$7:$7,'2015-Fundraising costs'!$8:$8,'2015-Fundraising costs'!$9:$9,'2015-Fundraising costs'!$10:$10,'2015-Fundraising costs'!$13:$13,'2015-Fundraising costs'!$14:$14,'2015-Fundraising costs'!$15:$15,'2015-Fundraising costs'!$16:$16,'2015-Fundraising costs'!$17:$17,'2015-Fundraising costs'!$18:$18,'2015-Fundraising costs'!$21:$21,'2015-Fundraising costs'!$22:$22,'2015-Fundraising costs'!$23:$23,'2015-Fundraising costs'!$26:$26,'2015-Fundraising costs'!$27:$27</definedName>
    <definedName name="QB_DATA_0" localSheetId="2" hidden="1">'2015-Future budget'!$10:$10,'2015-Future budget'!$11:$11,'2015-Future budget'!$12:$12,'2015-Future budget'!$13:$13,'2015-Future budget'!$16:$16,'2015-Future budget'!$17:$17,'2015-Future budget'!$18:$18,'2015-Future budget'!$19:$19,'2015-Future budget'!$20:$20,'2015-Future budget'!$23:$23,'2015-Future budget'!$24:$24,'2015-Future budget'!$25:$25,'2015-Future budget'!$26:$26,'2015-Future budget'!$27:$27,'2015-Future budget'!$28:$28,'2015-Future budget'!$29:$29</definedName>
    <definedName name="QB_DATA_0" localSheetId="1" hidden="1">'2015-Past P&amp;L'!#REF!,'2015-Past P&amp;L'!#REF!,'2015-Past P&amp;L'!#REF!,'2015-Past P&amp;L'!#REF!,'2015-Past P&amp;L'!#REF!,'2015-Past P&amp;L'!#REF!,'2015-Past P&amp;L'!#REF!,'2015-Past P&amp;L'!#REF!,'2015-Past P&amp;L'!#REF!,'2015-Past P&amp;L'!#REF!,'2015-Past P&amp;L'!#REF!,'2015-Past P&amp;L'!#REF!,'2015-Past P&amp;L'!#REF!,'2015-Past P&amp;L'!#REF!,'2015-Past P&amp;L'!#REF!,'2015-Past P&amp;L'!#REF!</definedName>
    <definedName name="QB_DATA_1" localSheetId="4" hidden="1">'2015-Balance Sheet'!$21:$21,'2015-Balance Sheet'!$22:$22,'2015-Balance Sheet'!$23:$23,'2015-Balance Sheet'!$24:$24,'2015-Balance Sheet'!$25:$25,'2015-Balance Sheet'!$26:$26,'2015-Balance Sheet'!$29:$29,'2015-Balance Sheet'!$31:$31,'2015-Balance Sheet'!$32:$32,'2015-Balance Sheet'!$33:$33,'2015-Balance Sheet'!$35:$35,'2015-Balance Sheet'!$37:$37,'2015-Balance Sheet'!$38:$38,'2015-Balance Sheet'!$39:$39,'2015-Balance Sheet'!$41:$41,'2015-Balance Sheet'!$43:$43</definedName>
    <definedName name="QB_DATA_1" localSheetId="5" hidden="1">'2015-Fundraising costs'!$28:$28,'2015-Fundraising costs'!$31:$31,'2015-Fundraising costs'!$32:$32,'2015-Fundraising costs'!$33:$33,'2015-Fundraising costs'!$34:$34,'2015-Fundraising costs'!$35:$35,'2015-Fundraising costs'!$36:$36,'2015-Fundraising costs'!$37:$37,'2015-Fundraising costs'!$38:$38,'2015-Fundraising costs'!$39:$39,'2015-Fundraising costs'!$40:$40,'2015-Fundraising costs'!$41:$41,'2015-Fundraising costs'!$42:$42,'2015-Fundraising costs'!$44:$44,'2015-Fundraising costs'!$46:$46,'2015-Fundraising costs'!$47:$47</definedName>
    <definedName name="QB_DATA_1" localSheetId="2" hidden="1">'2015-Future budget'!$32:$32,'2015-Future budget'!$33:$33,'2015-Future budget'!$34:$34,'2015-Future budget'!$35:$35,'2015-Future budget'!$36:$36,'2015-Future budget'!$37:$37,'2015-Future budget'!$38:$38,'2015-Future budget'!$42:$42,'2015-Future budget'!$43:$43,'2015-Future budget'!$44:$44,'2015-Future budget'!$45:$45,'2015-Future budget'!$47:$47,'2015-Future budget'!$49:$49,'2015-Future budget'!$50:$50,'2015-Future budget'!$51:$51,'2015-Future budget'!$52:$52</definedName>
    <definedName name="QB_DATA_1" localSheetId="1" hidden="1">'2015-Past P&amp;L'!#REF!,'2015-Past P&amp;L'!#REF!,'2015-Past P&amp;L'!#REF!,'2015-Past P&amp;L'!#REF!,'2015-Past P&amp;L'!#REF!,'2015-Past P&amp;L'!#REF!,'2015-Past P&amp;L'!#REF!,'2015-Past P&amp;L'!#REF!,'2015-Past P&amp;L'!#REF!,'2015-Past P&amp;L'!#REF!,'2015-Past P&amp;L'!#REF!,'2015-Past P&amp;L'!#REF!,'2015-Past P&amp;L'!#REF!,'2015-Past P&amp;L'!#REF!,'2015-Past P&amp;L'!#REF!,'2015-Past P&amp;L'!#REF!</definedName>
    <definedName name="QB_DATA_2" localSheetId="4" hidden="1">'2015-Balance Sheet'!$44:$44,'2015-Balance Sheet'!$50:$50,'2015-Balance Sheet'!$51:$51,'2015-Balance Sheet'!$52:$52,'2015-Balance Sheet'!$55:$55,'2015-Balance Sheet'!$56:$56,'2015-Balance Sheet'!$59:$59,'2015-Balance Sheet'!$60:$60,'2015-Balance Sheet'!$64:$64,'2015-Balance Sheet'!$65:$65,'2015-Balance Sheet'!$66:$66,'2015-Balance Sheet'!$73:$73,'2015-Balance Sheet'!$74:$74,'2015-Balance Sheet'!$75:$75,'2015-Balance Sheet'!$76:$76,'2015-Balance Sheet'!$77:$77</definedName>
    <definedName name="QB_DATA_2" localSheetId="5" hidden="1">'2015-Fundraising costs'!$48:$48,'2015-Fundraising costs'!$49:$49</definedName>
    <definedName name="QB_DATA_2" localSheetId="2" hidden="1">'2015-Future budget'!$53:$53,'2015-Future budget'!$54:$54,'2015-Future budget'!$57:$57,'2015-Future budget'!$58:$58,'2015-Future budget'!$59:$59,'2015-Future budget'!$62:$62,'2015-Future budget'!$63:$63,'2015-Future budget'!$64:$64,'2015-Future budget'!$65:$65,'2015-Future budget'!$68:$68,'2015-Future budget'!$69:$69,'2015-Future budget'!$70:$70,'2015-Future budget'!$71:$71,'2015-Future budget'!$72:$72,'2015-Future budget'!$73:$73,'2015-Future budget'!$74:$74</definedName>
    <definedName name="QB_DATA_2" localSheetId="1" hidden="1">'2015-Past P&amp;L'!#REF!,'2015-Past P&amp;L'!#REF!,'2015-Past P&amp;L'!#REF!,'2015-Past P&amp;L'!#REF!,'2015-Past P&amp;L'!#REF!,'2015-Past P&amp;L'!#REF!,'2015-Past P&amp;L'!#REF!,'2015-Past P&amp;L'!#REF!,'2015-Past P&amp;L'!#REF!,'2015-Past P&amp;L'!#REF!,'2015-Past P&amp;L'!$7:$7,'2015-Past P&amp;L'!#REF!,'2015-Past P&amp;L'!$8:$8,'2015-Past P&amp;L'!$9:$9,'2015-Past P&amp;L'!$12:$12,'2015-Past P&amp;L'!$13:$13</definedName>
    <definedName name="QB_DATA_3" localSheetId="4" hidden="1">'2015-Balance Sheet'!$80:$80,'2015-Balance Sheet'!$83:$83,'2015-Balance Sheet'!$84:$84,'2015-Balance Sheet'!$85:$85,'2015-Balance Sheet'!$86:$86,'2015-Balance Sheet'!#REF!,'2015-Balance Sheet'!$93:$93,'2015-Balance Sheet'!$94:$94,'2015-Balance Sheet'!$95:$95,'2015-Balance Sheet'!$98:$98,'2015-Balance Sheet'!$104:$104,'2015-Balance Sheet'!$105:$105,'2015-Balance Sheet'!$106:$106,'2015-Balance Sheet'!$109:$109,'2015-Balance Sheet'!$112:$112,'2015-Balance Sheet'!$113:$113</definedName>
    <definedName name="QB_DATA_3" localSheetId="2" hidden="1">'2015-Future budget'!$75:$75,'2015-Future budget'!$76:$76,'2015-Future budget'!$77:$77,'2015-Future budget'!$78:$78,'2015-Future budget'!$79:$79,'2015-Future budget'!$80:$80,'2015-Future budget'!$81:$81,'2015-Future budget'!$83:$83,'2015-Future budget'!$85:$85,'2015-Future budget'!$89:$89</definedName>
    <definedName name="QB_DATA_3" localSheetId="1" hidden="1">'2015-Past P&amp;L'!$14:$14,'2015-Past P&amp;L'!$17:$17,'2015-Past P&amp;L'!$18:$18,'2015-Past P&amp;L'!$19:$19,'2015-Past P&amp;L'!$20:$20,'2015-Past P&amp;L'!$21:$21,'2015-Past P&amp;L'!$24:$24,'2015-Past P&amp;L'!$25:$25,'2015-Past P&amp;L'!$26:$26,'2015-Past P&amp;L'!$27:$27,'2015-Past P&amp;L'!$28:$28,'2015-Past P&amp;L'!$29:$29,'2015-Past P&amp;L'!$30:$30,'2015-Past P&amp;L'!$31:$31,'2015-Past P&amp;L'!$32:$32,'2015-Past P&amp;L'!$33:$33</definedName>
    <definedName name="QB_DATA_4" localSheetId="4" hidden="1">'2015-Balance Sheet'!$114:$114,'2015-Balance Sheet'!$116:$116,'2015-Balance Sheet'!$117:$117,'2015-Balance Sheet'!$119:$119,'2015-Balance Sheet'!#REF!</definedName>
    <definedName name="QB_DATA_4" localSheetId="1" hidden="1">'2015-Past P&amp;L'!$34:$34,'2015-Past P&amp;L'!$35:$35,'2015-Past P&amp;L'!$36:$36,'2015-Past P&amp;L'!$38:$38,'2015-Past P&amp;L'!$42:$42,'2015-Past P&amp;L'!$43:$43,'2015-Past P&amp;L'!$44:$44,'2015-Past P&amp;L'!$47:$47,'2015-Past P&amp;L'!$48:$48,'2015-Past P&amp;L'!$49:$49,'2015-Past P&amp;L'!$50:$50,'2015-Past P&amp;L'!$51:$51,'2015-Past P&amp;L'!$52:$52,'2015-Past P&amp;L'!#REF!,'2015-Past P&amp;L'!#REF!,'2015-Past P&amp;L'!#REF!</definedName>
    <definedName name="QB_DATA_5" localSheetId="1" hidden="1">'2015-Past P&amp;L'!$55:$55,'2015-Past P&amp;L'!$56:$56</definedName>
    <definedName name="QB_DATE_1" localSheetId="2" hidden="1">'2015-Future budget'!$S$2</definedName>
    <definedName name="QB_DATE_1" localSheetId="1" hidden="1">'2015-Past P&amp;L'!$AS$2</definedName>
    <definedName name="QB_FORMULA_0" localSheetId="4" hidden="1">'2015-Balance Sheet'!$G$27,'2015-Balance Sheet'!$G$34,'2015-Balance Sheet'!$G$40,'2015-Balance Sheet'!$G$45,'2015-Balance Sheet'!$G$46,'2015-Balance Sheet'!$G$47,'2015-Balance Sheet'!$G$53,'2015-Balance Sheet'!$G$57,'2015-Balance Sheet'!$G$61,'2015-Balance Sheet'!$G$62,'2015-Balance Sheet'!$G$67,'2015-Balance Sheet'!$G$68,'2015-Balance Sheet'!$G$78,'2015-Balance Sheet'!$G$81,'2015-Balance Sheet'!$G$87,'2015-Balance Sheet'!$G$88</definedName>
    <definedName name="QB_FORMULA_0" localSheetId="3" hidden="1">'2015-Commitments by month'!$AY$2,'2015-Commitments by month'!$AY$3,'2015-Commitments by month'!#REF!,'2015-Commitments by month'!#REF!,'2015-Commitments by month'!#REF!,'2015-Commitments by month'!#REF!,'2015-Commitments by month'!#REF!,'2015-Commitments by month'!#REF!,'2015-Commitments by month'!#REF!,'2015-Commitments by month'!#REF!,'2015-Commitments by month'!#REF!,'2015-Commitments by month'!#REF!,'2015-Commitments by month'!#REF!,'2015-Commitments by month'!#REF!,'2015-Commitments by month'!#REF!,'2015-Commitments by month'!#REF!</definedName>
    <definedName name="QB_FORMULA_0" localSheetId="5" hidden="1">'2015-Fundraising costs'!$AZ$4,'2015-Fundraising costs'!$AZ$7,'2015-Fundraising costs'!$AZ$8,'2015-Fundraising costs'!$AZ$9,'2015-Fundraising costs'!$AZ$10,'2015-Fundraising costs'!$H$11,'2015-Fundraising costs'!$J$11,'2015-Fundraising costs'!$L$11,'2015-Fundraising costs'!$N$11,'2015-Fundraising costs'!$P$11,'2015-Fundraising costs'!$R$11,'2015-Fundraising costs'!$T$11,'2015-Fundraising costs'!$V$11,'2015-Fundraising costs'!$X$11,'2015-Fundraising costs'!$Z$11,'2015-Fundraising costs'!$AB$11</definedName>
    <definedName name="QB_FORMULA_0" localSheetId="2" hidden="1">'2015-Future budget'!$P$10,'2015-Future budget'!$R$10,'2015-Future budget'!$S$10,'2015-Future budget'!$I$11,'2015-Future budget'!$L$11,'2015-Future budget'!$P$11,'2015-Future budget'!$R$11,'2015-Future budget'!$S$11,'2015-Future budget'!$P$12,'2015-Future budget'!$R$12,'2015-Future budget'!$S$12,'2015-Future budget'!$I$13,'2015-Future budget'!$L$13,'2015-Future budget'!$P$13,'2015-Future budget'!$R$13,'2015-Future budget'!$S$13</definedName>
    <definedName name="QB_FORMULA_0" localSheetId="1" hidden="1">'2015-Past P&amp;L'!#REF!,'2015-Past P&amp;L'!#REF!,'2015-Past P&amp;L'!#REF!,'2015-Past P&amp;L'!#REF!,'2015-Past P&amp;L'!#REF!,'2015-Past P&amp;L'!#REF!,'2015-Past P&amp;L'!#REF!,'2015-Past P&amp;L'!#REF!,'2015-Past P&amp;L'!#REF!,'2015-Past P&amp;L'!#REF!,'2015-Past P&amp;L'!#REF!,'2015-Past P&amp;L'!#REF!,'2015-Past P&amp;L'!#REF!,'2015-Past P&amp;L'!#REF!,'2015-Past P&amp;L'!#REF!,'2015-Past P&amp;L'!#REF!</definedName>
    <definedName name="QB_FORMULA_1" localSheetId="4" hidden="1">'2015-Balance Sheet'!$G$89,'2015-Balance Sheet'!$G$96,'2015-Balance Sheet'!$G$99,'2015-Balance Sheet'!$G$100,'2015-Balance Sheet'!$G$107,'2015-Balance Sheet'!$G$110,'2015-Balance Sheet'!$G$115,'2015-Balance Sheet'!$G$118,'2015-Balance Sheet'!$G$120,'2015-Balance Sheet'!$G$121,'2015-Balance Sheet'!$G$122</definedName>
    <definedName name="QB_FORMULA_1" localSheetId="3" hidden="1">'2015-Commitments by month'!#REF!,'2015-Commitments by month'!#REF!,'2015-Commitments by month'!#REF!,'2015-Commitments by month'!#REF!,'2015-Commitments by month'!#REF!,'2015-Commitments by month'!#REF!,'2015-Commitments by month'!#REF!,'2015-Commitments by month'!#REF!,'2015-Commitments by month'!#REF!,'2015-Commitments by month'!#REF!,'2015-Commitments by month'!#REF!,'2015-Commitments by month'!#REF!,'2015-Commitments by month'!#REF!,'2015-Commitments by month'!#REF!,'2015-Commitments by month'!#REF!,'2015-Commitments by month'!#REF!</definedName>
    <definedName name="QB_FORMULA_1" localSheetId="5" hidden="1">'2015-Fundraising costs'!$AD$11,'2015-Fundraising costs'!$AF$11,'2015-Fundraising costs'!$AH$11,'2015-Fundraising costs'!$AJ$11,'2015-Fundraising costs'!$AL$11,'2015-Fundraising costs'!$AN$11,'2015-Fundraising costs'!$AP$11,'2015-Fundraising costs'!$AR$11,'2015-Fundraising costs'!$AT$11,'2015-Fundraising costs'!$AV$11,'2015-Fundraising costs'!$AX$11,'2015-Fundraising costs'!$AZ$11,'2015-Fundraising costs'!$AZ$13,'2015-Fundraising costs'!$AZ$14,'2015-Fundraising costs'!$AZ$15,'2015-Fundraising costs'!$AZ$16</definedName>
    <definedName name="QB_FORMULA_1" localSheetId="2" hidden="1">'2015-Future budget'!$H$14,'2015-Future budget'!$I$14,'2015-Future budget'!$J$14,'2015-Future budget'!$K$14,'2015-Future budget'!$L$14,'2015-Future budget'!$M$14,'2015-Future budget'!$N$14,'2015-Future budget'!$O$14,'2015-Future budget'!$P$14,'2015-Future budget'!$Q$14,'2015-Future budget'!$R$14,'2015-Future budget'!$S$14,'2015-Future budget'!$P$16,'2015-Future budget'!$R$16,'2015-Future budget'!$S$16,'2015-Future budget'!$I$17</definedName>
    <definedName name="QB_FORMULA_1" localSheetId="1" hidden="1">'2015-Past P&amp;L'!#REF!,'2015-Past P&amp;L'!#REF!,'2015-Past P&amp;L'!#REF!,'2015-Past P&amp;L'!#REF!,'2015-Past P&amp;L'!#REF!,'2015-Past P&amp;L'!#REF!,'2015-Past P&amp;L'!#REF!,'2015-Past P&amp;L'!#REF!,'2015-Past P&amp;L'!#REF!,'2015-Past P&amp;L'!#REF!,'2015-Past P&amp;L'!#REF!,'2015-Past P&amp;L'!#REF!,'2015-Past P&amp;L'!#REF!,'2015-Past P&amp;L'!#REF!,'2015-Past P&amp;L'!#REF!,'2015-Past P&amp;L'!#REF!</definedName>
    <definedName name="QB_FORMULA_10" localSheetId="5" hidden="1">'2015-Fundraising costs'!$AL$45,'2015-Fundraising costs'!$AN$45,'2015-Fundraising costs'!$AP$45,'2015-Fundraising costs'!$AR$45,'2015-Fundraising costs'!$AT$45,'2015-Fundraising costs'!$AV$45,'2015-Fundraising costs'!$AX$45,'2015-Fundraising costs'!$AZ$45,'2015-Fundraising costs'!$AZ$46,'2015-Fundraising costs'!$AZ$47,'2015-Fundraising costs'!$AZ$48,'2015-Fundraising costs'!$AZ$49,'2015-Fundraising costs'!$H$50,'2015-Fundraising costs'!$J$50,'2015-Fundraising costs'!$L$50,'2015-Fundraising costs'!$N$50</definedName>
    <definedName name="QB_FORMULA_10" localSheetId="2" hidden="1">'2015-Future budget'!$L$44,'2015-Future budget'!$P$44,'2015-Future budget'!$R$44,'2015-Future budget'!$S$44,'2015-Future budget'!$I$45,'2015-Future budget'!$L$45,'2015-Future budget'!$P$45,'2015-Future budget'!$R$45,'2015-Future budget'!$S$45,'2015-Future budget'!$H$46,'2015-Future budget'!$I$46,'2015-Future budget'!$J$46,'2015-Future budget'!$K$46,'2015-Future budget'!$L$46,'2015-Future budget'!$M$46,'2015-Future budget'!$N$46</definedName>
    <definedName name="QB_FORMULA_10" localSheetId="1" hidden="1">'2015-Past P&amp;L'!#REF!,'2015-Past P&amp;L'!#REF!,'2015-Past P&amp;L'!#REF!,'2015-Past P&amp;L'!#REF!,'2015-Past P&amp;L'!#REF!,'2015-Past P&amp;L'!#REF!,'2015-Past P&amp;L'!#REF!,'2015-Past P&amp;L'!#REF!,'2015-Past P&amp;L'!#REF!,'2015-Past P&amp;L'!#REF!,'2015-Past P&amp;L'!#REF!,'2015-Past P&amp;L'!#REF!,'2015-Past P&amp;L'!#REF!,'2015-Past P&amp;L'!#REF!,'2015-Past P&amp;L'!#REF!,'2015-Past P&amp;L'!#REF!</definedName>
    <definedName name="QB_FORMULA_11" localSheetId="5" hidden="1">'2015-Fundraising costs'!$P$50,'2015-Fundraising costs'!$R$50,'2015-Fundraising costs'!$T$50,'2015-Fundraising costs'!$V$50,'2015-Fundraising costs'!$X$50,'2015-Fundraising costs'!$Z$50,'2015-Fundraising costs'!$AB$50,'2015-Fundraising costs'!$AD$50,'2015-Fundraising costs'!$AF$50,'2015-Fundraising costs'!$AH$50,'2015-Fundraising costs'!$AJ$50,'2015-Fundraising costs'!$AL$50,'2015-Fundraising costs'!$AN$50,'2015-Fundraising costs'!$AP$50,'2015-Fundraising costs'!$AR$50,'2015-Fundraising costs'!$AT$50</definedName>
    <definedName name="QB_FORMULA_11" localSheetId="2" hidden="1">'2015-Future budget'!$O$46,'2015-Future budget'!$P$46,'2015-Future budget'!$Q$46,'2015-Future budget'!$R$46,'2015-Future budget'!$S$46,'2015-Future budget'!$I$47,'2015-Future budget'!$L$47,'2015-Future budget'!$P$47,'2015-Future budget'!$R$47,'2015-Future budget'!$S$47,'2015-Future budget'!$I$49,'2015-Future budget'!$L$49,'2015-Future budget'!$P$49,'2015-Future budget'!$R$49,'2015-Future budget'!$S$49,'2015-Future budget'!$I$50</definedName>
    <definedName name="QB_FORMULA_11" localSheetId="1" hidden="1">'2015-Past P&amp;L'!#REF!,'2015-Past P&amp;L'!#REF!,'2015-Past P&amp;L'!#REF!,'2015-Past P&amp;L'!#REF!,'2015-Past P&amp;L'!#REF!,'2015-Past P&amp;L'!#REF!,'2015-Past P&amp;L'!#REF!,'2015-Past P&amp;L'!#REF!,'2015-Past P&amp;L'!#REF!,'2015-Past P&amp;L'!#REF!,'2015-Past P&amp;L'!#REF!,'2015-Past P&amp;L'!#REF!,'2015-Past P&amp;L'!#REF!,'2015-Past P&amp;L'!#REF!,'2015-Past P&amp;L'!#REF!,'2015-Past P&amp;L'!#REF!</definedName>
    <definedName name="QB_FORMULA_12" localSheetId="5" hidden="1">'2015-Fundraising costs'!$AV$50,'2015-Fundraising costs'!$AX$50,'2015-Fundraising costs'!$AZ$50,'2015-Fundraising costs'!#REF!,'2015-Fundraising costs'!#REF!,'2015-Fundraising costs'!#REF!,'2015-Fundraising costs'!#REF!,'2015-Fundraising costs'!#REF!,'2015-Fundraising costs'!#REF!,'2015-Fundraising costs'!#REF!,'2015-Fundraising costs'!#REF!,'2015-Fundraising costs'!#REF!,'2015-Fundraising costs'!#REF!,'2015-Fundraising costs'!#REF!,'2015-Fundraising costs'!#REF!,'2015-Fundraising costs'!#REF!</definedName>
    <definedName name="QB_FORMULA_12" localSheetId="2" hidden="1">'2015-Future budget'!$L$50,'2015-Future budget'!$P$50,'2015-Future budget'!$R$50,'2015-Future budget'!$S$50,'2015-Future budget'!$I$51,'2015-Future budget'!$L$51,'2015-Future budget'!$P$51,'2015-Future budget'!$R$51,'2015-Future budget'!$S$51,'2015-Future budget'!$I$52,'2015-Future budget'!$L$52,'2015-Future budget'!$P$52,'2015-Future budget'!$R$52,'2015-Future budget'!$S$52,'2015-Future budget'!$I$53,'2015-Future budget'!$L$53</definedName>
    <definedName name="QB_FORMULA_12" localSheetId="1" hidden="1">'2015-Past P&amp;L'!#REF!,'2015-Past P&amp;L'!#REF!,'2015-Past P&amp;L'!#REF!,'2015-Past P&amp;L'!#REF!,'2015-Past P&amp;L'!#REF!,'2015-Past P&amp;L'!#REF!,'2015-Past P&amp;L'!#REF!,'2015-Past P&amp;L'!#REF!,'2015-Past P&amp;L'!#REF!,'2015-Past P&amp;L'!#REF!,'2015-Past P&amp;L'!#REF!,'2015-Past P&amp;L'!#REF!,'2015-Past P&amp;L'!#REF!,'2015-Past P&amp;L'!#REF!,'2015-Past P&amp;L'!#REF!,'2015-Past P&amp;L'!#REF!</definedName>
    <definedName name="QB_FORMULA_13" localSheetId="5" hidden="1">'2015-Fundraising costs'!#REF!,'2015-Fundraising costs'!#REF!,'2015-Fundraising costs'!#REF!,'2015-Fundraising costs'!#REF!,'2015-Fundraising costs'!#REF!,'2015-Fundraising costs'!#REF!,'2015-Fundraising costs'!#REF!,'2015-Fundraising costs'!#REF!,'2015-Fundraising costs'!#REF!,'2015-Fundraising costs'!#REF!,'2015-Fundraising costs'!#REF!,'2015-Fundraising costs'!#REF!,'2015-Fundraising costs'!#REF!,'2015-Fundraising costs'!#REF!,'2015-Fundraising costs'!#REF!,'2015-Fundraising costs'!#REF!</definedName>
    <definedName name="QB_FORMULA_13" localSheetId="2" hidden="1">'2015-Future budget'!$P$53,'2015-Future budget'!$R$53,'2015-Future budget'!$S$53,'2015-Future budget'!$I$54,'2015-Future budget'!$L$54,'2015-Future budget'!$P$54,'2015-Future budget'!$R$54,'2015-Future budget'!$S$54,'2015-Future budget'!$H$55,'2015-Future budget'!$I$55,'2015-Future budget'!$J$55,'2015-Future budget'!$K$55,'2015-Future budget'!$L$55,'2015-Future budget'!$M$55,'2015-Future budget'!$N$55,'2015-Future budget'!$O$55</definedName>
    <definedName name="QB_FORMULA_13" localSheetId="1" hidden="1">'2015-Past P&amp;L'!#REF!,'2015-Past P&amp;L'!#REF!,'2015-Past P&amp;L'!#REF!,'2015-Past P&amp;L'!#REF!,'2015-Past P&amp;L'!#REF!,'2015-Past P&amp;L'!#REF!,'2015-Past P&amp;L'!#REF!,'2015-Past P&amp;L'!#REF!,'2015-Past P&amp;L'!#REF!,'2015-Past P&amp;L'!#REF!,'2015-Past P&amp;L'!#REF!,'2015-Past P&amp;L'!#REF!,'2015-Past P&amp;L'!#REF!,'2015-Past P&amp;L'!#REF!,'2015-Past P&amp;L'!#REF!,'2015-Past P&amp;L'!#REF!</definedName>
    <definedName name="QB_FORMULA_14" localSheetId="5" hidden="1">'2015-Fundraising costs'!#REF!,'2015-Fundraising costs'!#REF!,'2015-Fundraising costs'!#REF!,'2015-Fundraising costs'!#REF!,'2015-Fundraising costs'!#REF!,'2015-Fundraising costs'!#REF!,'2015-Fundraising costs'!#REF!,'2015-Fundraising costs'!#REF!,'2015-Fundraising costs'!#REF!,'2015-Fundraising costs'!#REF!,'2015-Fundraising costs'!#REF!,'2015-Fundraising costs'!#REF!,'2015-Fundraising costs'!#REF!,'2015-Fundraising costs'!#REF!,'2015-Fundraising costs'!#REF!,'2015-Fundraising costs'!#REF!</definedName>
    <definedName name="QB_FORMULA_14" localSheetId="2" hidden="1">'2015-Future budget'!$P$55,'2015-Future budget'!$Q$55,'2015-Future budget'!$R$55,'2015-Future budget'!$S$55,'2015-Future budget'!$I$57,'2015-Future budget'!$L$57,'2015-Future budget'!$P$57,'2015-Future budget'!$R$57,'2015-Future budget'!$S$57,'2015-Future budget'!$I$58,'2015-Future budget'!$L$58,'2015-Future budget'!$P$58,'2015-Future budget'!$R$58,'2015-Future budget'!$S$58,'2015-Future budget'!$I$59,'2015-Future budget'!$L$59</definedName>
    <definedName name="QB_FORMULA_14" localSheetId="1" hidden="1">'2015-Past P&amp;L'!#REF!,'2015-Past P&amp;L'!#REF!,'2015-Past P&amp;L'!#REF!,'2015-Past P&amp;L'!#REF!,'2015-Past P&amp;L'!#REF!,'2015-Past P&amp;L'!#REF!,'2015-Past P&amp;L'!#REF!,'2015-Past P&amp;L'!#REF!,'2015-Past P&amp;L'!#REF!,'2015-Past P&amp;L'!#REF!,'2015-Past P&amp;L'!#REF!,'2015-Past P&amp;L'!#REF!,'2015-Past P&amp;L'!#REF!,'2015-Past P&amp;L'!#REF!,'2015-Past P&amp;L'!#REF!,'2015-Past P&amp;L'!#REF!</definedName>
    <definedName name="QB_FORMULA_15" localSheetId="5" hidden="1">'2015-Fundraising costs'!#REF!</definedName>
    <definedName name="QB_FORMULA_15" localSheetId="2" hidden="1">'2015-Future budget'!$P$59,'2015-Future budget'!$R$59,'2015-Future budget'!$S$59,'2015-Future budget'!$H$60,'2015-Future budget'!$I$60,'2015-Future budget'!$J$60,'2015-Future budget'!$K$60,'2015-Future budget'!$L$60,'2015-Future budget'!$M$60,'2015-Future budget'!$N$60,'2015-Future budget'!$O$60,'2015-Future budget'!$P$60,'2015-Future budget'!$Q$60,'2015-Future budget'!$R$60,'2015-Future budget'!$S$60,'2015-Future budget'!$I$62</definedName>
    <definedName name="QB_FORMULA_15" localSheetId="1" hidden="1">'2015-Past P&amp;L'!#REF!,'2015-Past P&amp;L'!#REF!,'2015-Past P&amp;L'!#REF!,'2015-Past P&amp;L'!#REF!,'2015-Past P&amp;L'!#REF!,'2015-Past P&amp;L'!#REF!,'2015-Past P&amp;L'!#REF!,'2015-Past P&amp;L'!#REF!,'2015-Past P&amp;L'!#REF!,'2015-Past P&amp;L'!#REF!,'2015-Past P&amp;L'!#REF!,'2015-Past P&amp;L'!#REF!,'2015-Past P&amp;L'!#REF!,'2015-Past P&amp;L'!#REF!,'2015-Past P&amp;L'!#REF!,'2015-Past P&amp;L'!#REF!</definedName>
    <definedName name="QB_FORMULA_16" localSheetId="2" hidden="1">'2015-Future budget'!$L$62,'2015-Future budget'!$P$62,'2015-Future budget'!$R$62,'2015-Future budget'!$S$62,'2015-Future budget'!$I$63,'2015-Future budget'!$L$63,'2015-Future budget'!$P$63,'2015-Future budget'!$R$63,'2015-Future budget'!$S$63,'2015-Future budget'!$I$64,'2015-Future budget'!$L$64,'2015-Future budget'!$P$64,'2015-Future budget'!$R$64,'2015-Future budget'!$S$64,'2015-Future budget'!$I$65,'2015-Future budget'!$L$65</definedName>
    <definedName name="QB_FORMULA_16" localSheetId="1" hidden="1">'2015-Past P&amp;L'!#REF!,'2015-Past P&amp;L'!#REF!,'2015-Past P&amp;L'!#REF!,'2015-Past P&amp;L'!#REF!,'2015-Past P&amp;L'!#REF!,'2015-Past P&amp;L'!#REF!,'2015-Past P&amp;L'!#REF!,'2015-Past P&amp;L'!#REF!,'2015-Past P&amp;L'!#REF!,'2015-Past P&amp;L'!#REF!,'2015-Past P&amp;L'!#REF!,'2015-Past P&amp;L'!#REF!,'2015-Past P&amp;L'!#REF!,'2015-Past P&amp;L'!#REF!,'2015-Past P&amp;L'!#REF!,'2015-Past P&amp;L'!#REF!</definedName>
    <definedName name="QB_FORMULA_17" localSheetId="2" hidden="1">'2015-Future budget'!$P$65,'2015-Future budget'!$R$65,'2015-Future budget'!$S$65,'2015-Future budget'!$H$66,'2015-Future budget'!$I$66,'2015-Future budget'!$J$66,'2015-Future budget'!$K$66,'2015-Future budget'!$L$66,'2015-Future budget'!$M$66,'2015-Future budget'!$N$66,'2015-Future budget'!$O$66,'2015-Future budget'!$P$66,'2015-Future budget'!$Q$66,'2015-Future budget'!$R$66,'2015-Future budget'!$S$66,'2015-Future budget'!$I$68</definedName>
    <definedName name="QB_FORMULA_17" localSheetId="1" hidden="1">'2015-Past P&amp;L'!#REF!,'2015-Past P&amp;L'!#REF!,'2015-Past P&amp;L'!#REF!,'2015-Past P&amp;L'!#REF!,'2015-Past P&amp;L'!#REF!,'2015-Past P&amp;L'!#REF!,'2015-Past P&amp;L'!#REF!,'2015-Past P&amp;L'!#REF!,'2015-Past P&amp;L'!#REF!,'2015-Past P&amp;L'!#REF!,'2015-Past P&amp;L'!#REF!,'2015-Past P&amp;L'!#REF!,'2015-Past P&amp;L'!#REF!,'2015-Past P&amp;L'!#REF!,'2015-Past P&amp;L'!#REF!,'2015-Past P&amp;L'!#REF!</definedName>
    <definedName name="QB_FORMULA_18" localSheetId="2" hidden="1">'2015-Future budget'!$L$68,'2015-Future budget'!$P$68,'2015-Future budget'!$R$68,'2015-Future budget'!$S$68,'2015-Future budget'!$I$69,'2015-Future budget'!$L$69,'2015-Future budget'!$P$69,'2015-Future budget'!$R$69,'2015-Future budget'!$S$69,'2015-Future budget'!$I$70,'2015-Future budget'!$L$70,'2015-Future budget'!$P$70,'2015-Future budget'!$R$70,'2015-Future budget'!$S$70,'2015-Future budget'!$I$71,'2015-Future budget'!$L$71</definedName>
    <definedName name="QB_FORMULA_18" localSheetId="1" hidden="1">'2015-Past P&amp;L'!#REF!,'2015-Past P&amp;L'!#REF!,'2015-Past P&amp;L'!#REF!,'2015-Past P&amp;L'!#REF!,'2015-Past P&amp;L'!#REF!,'2015-Past P&amp;L'!#REF!,'2015-Past P&amp;L'!#REF!,'2015-Past P&amp;L'!#REF!,'2015-Past P&amp;L'!#REF!,'2015-Past P&amp;L'!#REF!,'2015-Past P&amp;L'!#REF!,'2015-Past P&amp;L'!#REF!,'2015-Past P&amp;L'!#REF!,'2015-Past P&amp;L'!#REF!,'2015-Past P&amp;L'!#REF!,'2015-Past P&amp;L'!#REF!</definedName>
    <definedName name="QB_FORMULA_19" localSheetId="2" hidden="1">'2015-Future budget'!$P$71,'2015-Future budget'!$R$71,'2015-Future budget'!$S$71,'2015-Future budget'!$I$72,'2015-Future budget'!$L$72,'2015-Future budget'!$P$72,'2015-Future budget'!$R$72,'2015-Future budget'!$S$72,'2015-Future budget'!$I$73,'2015-Future budget'!$L$73,'2015-Future budget'!$P$73,'2015-Future budget'!$R$73,'2015-Future budget'!$S$73,'2015-Future budget'!$I$74,'2015-Future budget'!$P$74,'2015-Future budget'!$R$74</definedName>
    <definedName name="QB_FORMULA_19" localSheetId="1" hidden="1">'2015-Past P&amp;L'!#REF!,'2015-Past P&amp;L'!#REF!,'2015-Past P&amp;L'!#REF!,'2015-Past P&amp;L'!#REF!,'2015-Past P&amp;L'!#REF!,'2015-Past P&amp;L'!#REF!,'2015-Past P&amp;L'!#REF!,'2015-Past P&amp;L'!#REF!,'2015-Past P&amp;L'!#REF!,'2015-Past P&amp;L'!#REF!,'2015-Past P&amp;L'!#REF!,'2015-Past P&amp;L'!#REF!,'2015-Past P&amp;L'!#REF!,'2015-Past P&amp;L'!#REF!,'2015-Past P&amp;L'!#REF!,'2015-Past P&amp;L'!#REF!</definedName>
    <definedName name="QB_FORMULA_2" localSheetId="3" hidden="1">'2015-Commitments by month'!#REF!,'2015-Commitments by month'!#REF!,'2015-Commitments by month'!#REF!,'2015-Commitments by month'!#REF!,'2015-Commitments by month'!#REF!,'2015-Commitments by month'!#REF!,'2015-Commitments by month'!#REF!,'2015-Commitments by month'!#REF!,'2015-Commitments by month'!#REF!,'2015-Commitments by month'!#REF!,'2015-Commitments by month'!#REF!,'2015-Commitments by month'!#REF!,'2015-Commitments by month'!#REF!,'2015-Commitments by month'!#REF!,'2015-Commitments by month'!#REF!,'2015-Commitments by month'!#REF!</definedName>
    <definedName name="QB_FORMULA_2" localSheetId="5" hidden="1">'2015-Fundraising costs'!$AZ$17,'2015-Fundraising costs'!$AZ$18,'2015-Fundraising costs'!$H$19,'2015-Fundraising costs'!$J$19,'2015-Fundraising costs'!$L$19,'2015-Fundraising costs'!$N$19,'2015-Fundraising costs'!$P$19,'2015-Fundraising costs'!$R$19,'2015-Fundraising costs'!$T$19,'2015-Fundraising costs'!$V$19,'2015-Fundraising costs'!$X$19,'2015-Fundraising costs'!$Z$19,'2015-Fundraising costs'!$AB$19,'2015-Fundraising costs'!$AD$19,'2015-Fundraising costs'!$AF$19,'2015-Fundraising costs'!$AH$19</definedName>
    <definedName name="QB_FORMULA_2" localSheetId="2" hidden="1">'2015-Future budget'!$L$17,'2015-Future budget'!$P$17,'2015-Future budget'!$R$17,'2015-Future budget'!$S$17,'2015-Future budget'!$I$18,'2015-Future budget'!$L$18,'2015-Future budget'!$P$18,'2015-Future budget'!$R$18,'2015-Future budget'!$S$18,'2015-Future budget'!$P$19,'2015-Future budget'!$R$19,'2015-Future budget'!$S$19,'2015-Future budget'!$L$20,'2015-Future budget'!$R$20,'2015-Future budget'!$S$20,'2015-Future budget'!$H$21</definedName>
    <definedName name="QB_FORMULA_2" localSheetId="1" hidden="1">'2015-Past P&amp;L'!#REF!,'2015-Past P&amp;L'!#REF!,'2015-Past P&amp;L'!#REF!,'2015-Past P&amp;L'!#REF!,'2015-Past P&amp;L'!#REF!,'2015-Past P&amp;L'!#REF!,'2015-Past P&amp;L'!#REF!,'2015-Past P&amp;L'!#REF!,'2015-Past P&amp;L'!#REF!,'2015-Past P&amp;L'!#REF!,'2015-Past P&amp;L'!#REF!,'2015-Past P&amp;L'!#REF!,'2015-Past P&amp;L'!#REF!,'2015-Past P&amp;L'!#REF!,'2015-Past P&amp;L'!#REF!,'2015-Past P&amp;L'!#REF!</definedName>
    <definedName name="QB_FORMULA_20" localSheetId="2" hidden="1">'2015-Future budget'!$S$74,'2015-Future budget'!$L$75,'2015-Future budget'!$R$75,'2015-Future budget'!$S$75,'2015-Future budget'!$I$76,'2015-Future budget'!$L$76,'2015-Future budget'!$P$76,'2015-Future budget'!$R$76,'2015-Future budget'!$S$76,'2015-Future budget'!$I$77,'2015-Future budget'!$L$77,'2015-Future budget'!$P$77,'2015-Future budget'!$R$77,'2015-Future budget'!$S$77,'2015-Future budget'!$L$78,'2015-Future budget'!$P$78</definedName>
    <definedName name="QB_FORMULA_20" localSheetId="1" hidden="1">'2015-Past P&amp;L'!#REF!,'2015-Past P&amp;L'!#REF!,'2015-Past P&amp;L'!#REF!,'2015-Past P&amp;L'!#REF!,'2015-Past P&amp;L'!#REF!,'2015-Past P&amp;L'!#REF!,'2015-Past P&amp;L'!#REF!,'2015-Past P&amp;L'!#REF!,'2015-Past P&amp;L'!#REF!,'2015-Past P&amp;L'!#REF!,'2015-Past P&amp;L'!#REF!,'2015-Past P&amp;L'!#REF!,'2015-Past P&amp;L'!#REF!,'2015-Past P&amp;L'!#REF!,'2015-Past P&amp;L'!#REF!,'2015-Past P&amp;L'!#REF!</definedName>
    <definedName name="QB_FORMULA_21" localSheetId="2" hidden="1">'2015-Future budget'!$R$78,'2015-Future budget'!$S$78,'2015-Future budget'!$I$79,'2015-Future budget'!$L$79,'2015-Future budget'!$P$79,'2015-Future budget'!$R$79,'2015-Future budget'!$S$79,'2015-Future budget'!$P$80,'2015-Future budget'!$R$80,'2015-Future budget'!$S$80,'2015-Future budget'!$I$81,'2015-Future budget'!$L$81,'2015-Future budget'!$P$81,'2015-Future budget'!$R$81,'2015-Future budget'!$S$81,'2015-Future budget'!$H$82</definedName>
    <definedName name="QB_FORMULA_21" localSheetId="1" hidden="1">'2015-Past P&amp;L'!#REF!,'2015-Past P&amp;L'!#REF!,'2015-Past P&amp;L'!#REF!,'2015-Past P&amp;L'!#REF!,'2015-Past P&amp;L'!#REF!,'2015-Past P&amp;L'!#REF!,'2015-Past P&amp;L'!#REF!,'2015-Past P&amp;L'!#REF!,'2015-Past P&amp;L'!#REF!,'2015-Past P&amp;L'!#REF!,'2015-Past P&amp;L'!#REF!,'2015-Past P&amp;L'!#REF!,'2015-Past P&amp;L'!#REF!,'2015-Past P&amp;L'!#REF!,'2015-Past P&amp;L'!#REF!,'2015-Past P&amp;L'!#REF!</definedName>
    <definedName name="QB_FORMULA_22" localSheetId="2" hidden="1">'2015-Future budget'!$I$82,'2015-Future budget'!$J$82,'2015-Future budget'!$K$82,'2015-Future budget'!$L$82,'2015-Future budget'!$M$82,'2015-Future budget'!$N$82,'2015-Future budget'!$O$82,'2015-Future budget'!$P$82,'2015-Future budget'!$Q$82,'2015-Future budget'!$R$82,'2015-Future budget'!$S$82,'2015-Future budget'!$I$83,'2015-Future budget'!$L$83,'2015-Future budget'!$P$83,'2015-Future budget'!$R$83,'2015-Future budget'!$S$83</definedName>
    <definedName name="QB_FORMULA_22" localSheetId="1" hidden="1">'2015-Past P&amp;L'!#REF!,'2015-Past P&amp;L'!#REF!,'2015-Past P&amp;L'!#REF!,'2015-Past P&amp;L'!#REF!,'2015-Past P&amp;L'!#REF!,'2015-Past P&amp;L'!#REF!,'2015-Past P&amp;L'!#REF!,'2015-Past P&amp;L'!#REF!,'2015-Past P&amp;L'!#REF!,'2015-Past P&amp;L'!#REF!,'2015-Past P&amp;L'!#REF!,'2015-Past P&amp;L'!#REF!,'2015-Past P&amp;L'!#REF!,'2015-Past P&amp;L'!#REF!,'2015-Past P&amp;L'!#REF!,'2015-Past P&amp;L'!#REF!</definedName>
    <definedName name="QB_FORMULA_23" localSheetId="2" hidden="1">'2015-Future budget'!$H$84,'2015-Future budget'!$I$84,'2015-Future budget'!$J$84,'2015-Future budget'!$K$84,'2015-Future budget'!$L$84,'2015-Future budget'!$M$84,'2015-Future budget'!$N$84,'2015-Future budget'!$O$84,'2015-Future budget'!$P$84,'2015-Future budget'!$Q$84,'2015-Future budget'!$R$84,'2015-Future budget'!$S$84,'2015-Future budget'!$P$85,'2015-Future budget'!$R$85,'2015-Future budget'!$S$85,'2015-Future budget'!$H$86</definedName>
    <definedName name="QB_FORMULA_23" localSheetId="1" hidden="1">'2015-Past P&amp;L'!#REF!,'2015-Past P&amp;L'!#REF!,'2015-Past P&amp;L'!#REF!,'2015-Past P&amp;L'!#REF!,'2015-Past P&amp;L'!#REF!,'2015-Past P&amp;L'!#REF!,'2015-Past P&amp;L'!#REF!,'2015-Past P&amp;L'!#REF!,'2015-Past P&amp;L'!#REF!,'2015-Past P&amp;L'!#REF!,'2015-Past P&amp;L'!#REF!,'2015-Past P&amp;L'!#REF!,'2015-Past P&amp;L'!#REF!,'2015-Past P&amp;L'!#REF!,'2015-Past P&amp;L'!#REF!,'2015-Past P&amp;L'!#REF!</definedName>
    <definedName name="QB_FORMULA_24" localSheetId="2" hidden="1">'2015-Future budget'!$I$86,'2015-Future budget'!$J$86,'2015-Future budget'!$K$86,'2015-Future budget'!$L$86,'2015-Future budget'!$M$86,'2015-Future budget'!$N$86,'2015-Future budget'!$O$86,'2015-Future budget'!$P$86,'2015-Future budget'!$Q$86,'2015-Future budget'!$R$86,'2015-Future budget'!$S$86,'2015-Future budget'!#REF!,'2015-Future budget'!#REF!,'2015-Future budget'!#REF!,'2015-Future budget'!#REF!,'2015-Future budget'!#REF!</definedName>
    <definedName name="QB_FORMULA_24" localSheetId="1" hidden="1">'2015-Past P&amp;L'!#REF!,'2015-Past P&amp;L'!#REF!,'2015-Past P&amp;L'!#REF!,'2015-Past P&amp;L'!#REF!,'2015-Past P&amp;L'!#REF!,'2015-Past P&amp;L'!#REF!,'2015-Past P&amp;L'!#REF!,'2015-Past P&amp;L'!#REF!,'2015-Past P&amp;L'!#REF!,'2015-Past P&amp;L'!#REF!,'2015-Past P&amp;L'!#REF!,'2015-Past P&amp;L'!#REF!,'2015-Past P&amp;L'!#REF!,'2015-Past P&amp;L'!#REF!,'2015-Past P&amp;L'!#REF!,'2015-Past P&amp;L'!#REF!</definedName>
    <definedName name="QB_FORMULA_25" localSheetId="2" hidden="1">'2015-Future budget'!#REF!,'2015-Future budget'!#REF!,'2015-Future budget'!#REF!,'2015-Future budget'!#REF!,'2015-Future budget'!#REF!,'2015-Future budget'!#REF!,'2015-Future budget'!#REF!,'2015-Future budget'!$I$89,'2015-Future budget'!$L$89,'2015-Future budget'!$P$89,'2015-Future budget'!$R$89,'2015-Future budget'!$S$89,'2015-Future budget'!$H$90,'2015-Future budget'!$I$90,'2015-Future budget'!$J$90,'2015-Future budget'!$K$90</definedName>
    <definedName name="QB_FORMULA_25" localSheetId="1" hidden="1">'2015-Past P&amp;L'!#REF!,'2015-Past P&amp;L'!#REF!,'2015-Past P&amp;L'!#REF!,'2015-Past P&amp;L'!#REF!,'2015-Past P&amp;L'!#REF!,'2015-Past P&amp;L'!#REF!,'2015-Past P&amp;L'!#REF!,'2015-Past P&amp;L'!#REF!,'2015-Past P&amp;L'!#REF!,'2015-Past P&amp;L'!#REF!,'2015-Past P&amp;L'!#REF!,'2015-Past P&amp;L'!#REF!,'2015-Past P&amp;L'!#REF!,'2015-Past P&amp;L'!#REF!,'2015-Past P&amp;L'!#REF!,'2015-Past P&amp;L'!#REF!</definedName>
    <definedName name="QB_FORMULA_26" localSheetId="2" hidden="1">'2015-Future budget'!$L$90,'2015-Future budget'!$M$90,'2015-Future budget'!$N$90,'2015-Future budget'!$O$90,'2015-Future budget'!$P$90,'2015-Future budget'!$R$90,'2015-Future budget'!$S$90,'2015-Future budget'!$H$91,'2015-Future budget'!$I$91,'2015-Future budget'!$J$91,'2015-Future budget'!$K$91,'2015-Future budget'!$L$91,'2015-Future budget'!$M$91,'2015-Future budget'!$N$91,'2015-Future budget'!$O$91,'2015-Future budget'!$P$91</definedName>
    <definedName name="QB_FORMULA_26" localSheetId="1" hidden="1">'2015-Past P&amp;L'!#REF!,'2015-Past P&amp;L'!#REF!,'2015-Past P&amp;L'!#REF!,'2015-Past P&amp;L'!#REF!,'2015-Past P&amp;L'!#REF!,'2015-Past P&amp;L'!#REF!,'2015-Past P&amp;L'!#REF!,'2015-Past P&amp;L'!#REF!,'2015-Past P&amp;L'!#REF!,'2015-Past P&amp;L'!#REF!,'2015-Past P&amp;L'!#REF!,'2015-Past P&amp;L'!#REF!,'2015-Past P&amp;L'!#REF!,'2015-Past P&amp;L'!#REF!,'2015-Past P&amp;L'!#REF!,'2015-Past P&amp;L'!#REF!</definedName>
    <definedName name="QB_FORMULA_27" localSheetId="2" hidden="1">'2015-Future budget'!$R$91,'2015-Future budget'!$S$91,'2015-Future budget'!$H$92,'2015-Future budget'!$I$92,'2015-Future budget'!$J$92,'2015-Future budget'!$K$92,'2015-Future budget'!$L$92,'2015-Future budget'!$M$92,'2015-Future budget'!$N$92,'2015-Future budget'!$O$92,'2015-Future budget'!$P$92,'2015-Future budget'!$Q$92,'2015-Future budget'!$R$92,'2015-Future budget'!$S$92</definedName>
    <definedName name="QB_FORMULA_27" localSheetId="1" hidden="1">'2015-Past P&amp;L'!#REF!,'2015-Past P&amp;L'!#REF!,'2015-Past P&amp;L'!#REF!,'2015-Past P&amp;L'!#REF!,'2015-Past P&amp;L'!#REF!,'2015-Past P&amp;L'!#REF!,'2015-Past P&amp;L'!#REF!,'2015-Past P&amp;L'!#REF!,'2015-Past P&amp;L'!#REF!,'2015-Past P&amp;L'!#REF!,'2015-Past P&amp;L'!#REF!,'2015-Past P&amp;L'!#REF!,'2015-Past P&amp;L'!#REF!,'2015-Past P&amp;L'!#REF!,'2015-Past P&amp;L'!#REF!,'2015-Past P&amp;L'!#REF!</definedName>
    <definedName name="QB_FORMULA_28" localSheetId="1" hidden="1">'2015-Past P&amp;L'!#REF!,'2015-Past P&amp;L'!#REF!,'2015-Past P&amp;L'!#REF!,'2015-Past P&amp;L'!#REF!,'2015-Past P&amp;L'!#REF!,'2015-Past P&amp;L'!#REF!,'2015-Past P&amp;L'!#REF!,'2015-Past P&amp;L'!#REF!,'2015-Past P&amp;L'!#REF!,'2015-Past P&amp;L'!#REF!,'2015-Past P&amp;L'!#REF!,'2015-Past P&amp;L'!#REF!,'2015-Past P&amp;L'!#REF!,'2015-Past P&amp;L'!#REF!,'2015-Past P&amp;L'!#REF!,'2015-Past P&amp;L'!#REF!</definedName>
    <definedName name="QB_FORMULA_29" localSheetId="1" hidden="1">'2015-Past P&amp;L'!#REF!,'2015-Past P&amp;L'!#REF!,'2015-Past P&amp;L'!#REF!,'2015-Past P&amp;L'!#REF!,'2015-Past P&amp;L'!#REF!,'2015-Past P&amp;L'!#REF!,'2015-Past P&amp;L'!#REF!,'2015-Past P&amp;L'!#REF!,'2015-Past P&amp;L'!#REF!,'2015-Past P&amp;L'!#REF!,'2015-Past P&amp;L'!#REF!,'2015-Past P&amp;L'!#REF!,'2015-Past P&amp;L'!#REF!,'2015-Past P&amp;L'!#REF!,'2015-Past P&amp;L'!#REF!,'2015-Past P&amp;L'!#REF!</definedName>
    <definedName name="QB_FORMULA_3" localSheetId="3" hidden="1">'2015-Commitments by month'!#REF!,'2015-Commitments by month'!#REF!,'2015-Commitments by month'!#REF!,'2015-Commitments by month'!#REF!,'2015-Commitments by month'!#REF!,'2015-Commitments by month'!#REF!,'2015-Commitments by month'!#REF!,'2015-Commitments by month'!#REF!,'2015-Commitments by month'!#REF!,'2015-Commitments by month'!#REF!,'2015-Commitments by month'!#REF!,'2015-Commitments by month'!#REF!,'2015-Commitments by month'!#REF!,'2015-Commitments by month'!#REF!,'2015-Commitments by month'!#REF!,'2015-Commitments by month'!#REF!</definedName>
    <definedName name="QB_FORMULA_3" localSheetId="5" hidden="1">'2015-Fundraising costs'!$AJ$19,'2015-Fundraising costs'!$AL$19,'2015-Fundraising costs'!$AN$19,'2015-Fundraising costs'!$AP$19,'2015-Fundraising costs'!$AR$19,'2015-Fundraising costs'!$AT$19,'2015-Fundraising costs'!$AV$19,'2015-Fundraising costs'!$AX$19,'2015-Fundraising costs'!$AZ$19,'2015-Fundraising costs'!$AZ$21,'2015-Fundraising costs'!$AZ$22,'2015-Fundraising costs'!$AZ$23,'2015-Fundraising costs'!$H$24,'2015-Fundraising costs'!$J$24,'2015-Fundraising costs'!$L$24,'2015-Fundraising costs'!$N$24</definedName>
    <definedName name="QB_FORMULA_3" localSheetId="2" hidden="1">'2015-Future budget'!$I$21,'2015-Future budget'!$J$21,'2015-Future budget'!$K$21,'2015-Future budget'!$L$21,'2015-Future budget'!$M$21,'2015-Future budget'!$N$21,'2015-Future budget'!$O$21,'2015-Future budget'!$P$21,'2015-Future budget'!$Q$21,'2015-Future budget'!$R$21,'2015-Future budget'!$S$21,'2015-Future budget'!$P$23,'2015-Future budget'!$R$23,'2015-Future budget'!$S$23,'2015-Future budget'!$I$24,'2015-Future budget'!$L$24</definedName>
    <definedName name="QB_FORMULA_3" localSheetId="1" hidden="1">'2015-Past P&amp;L'!#REF!,'2015-Past P&amp;L'!#REF!,'2015-Past P&amp;L'!#REF!,'2015-Past P&amp;L'!#REF!,'2015-Past P&amp;L'!#REF!,'2015-Past P&amp;L'!#REF!,'2015-Past P&amp;L'!#REF!,'2015-Past P&amp;L'!#REF!,'2015-Past P&amp;L'!#REF!,'2015-Past P&amp;L'!#REF!,'2015-Past P&amp;L'!#REF!,'2015-Past P&amp;L'!#REF!,'2015-Past P&amp;L'!#REF!,'2015-Past P&amp;L'!#REF!,'2015-Past P&amp;L'!#REF!,'2015-Past P&amp;L'!#REF!</definedName>
    <definedName name="QB_FORMULA_30" localSheetId="1" hidden="1">'2015-Past P&amp;L'!#REF!,'2015-Past P&amp;L'!#REF!,'2015-Past P&amp;L'!#REF!,'2015-Past P&amp;L'!#REF!,'2015-Past P&amp;L'!#REF!,'2015-Past P&amp;L'!#REF!,'2015-Past P&amp;L'!#REF!,'2015-Past P&amp;L'!#REF!,'2015-Past P&amp;L'!#REF!,'2015-Past P&amp;L'!#REF!,'2015-Past P&amp;L'!#REF!,'2015-Past P&amp;L'!#REF!,'2015-Past P&amp;L'!#REF!,'2015-Past P&amp;L'!#REF!,'2015-Past P&amp;L'!#REF!,'2015-Past P&amp;L'!#REF!</definedName>
    <definedName name="QB_FORMULA_31" localSheetId="1" hidden="1">'2015-Past P&amp;L'!#REF!,'2015-Past P&amp;L'!#REF!,'2015-Past P&amp;L'!#REF!,'2015-Past P&amp;L'!#REF!,'2015-Past P&amp;L'!#REF!,'2015-Past P&amp;L'!#REF!,'2015-Past P&amp;L'!#REF!,'2015-Past P&amp;L'!#REF!,'2015-Past P&amp;L'!#REF!,'2015-Past P&amp;L'!#REF!,'2015-Past P&amp;L'!#REF!,'2015-Past P&amp;L'!#REF!,'2015-Past P&amp;L'!#REF!,'2015-Past P&amp;L'!#REF!,'2015-Past P&amp;L'!#REF!,'2015-Past P&amp;L'!#REF!</definedName>
    <definedName name="QB_FORMULA_32" localSheetId="1" hidden="1">'2015-Past P&amp;L'!#REF!,'2015-Past P&amp;L'!#REF!,'2015-Past P&amp;L'!#REF!,'2015-Past P&amp;L'!#REF!,'2015-Past P&amp;L'!#REF!,'2015-Past P&amp;L'!#REF!,'2015-Past P&amp;L'!#REF!,'2015-Past P&amp;L'!#REF!,'2015-Past P&amp;L'!#REF!,'2015-Past P&amp;L'!#REF!,'2015-Past P&amp;L'!#REF!,'2015-Past P&amp;L'!#REF!,'2015-Past P&amp;L'!#REF!,'2015-Past P&amp;L'!#REF!,'2015-Past P&amp;L'!#REF!,'2015-Past P&amp;L'!#REF!</definedName>
    <definedName name="QB_FORMULA_33" localSheetId="1" hidden="1">'2015-Past P&amp;L'!#REF!,'2015-Past P&amp;L'!#REF!,'2015-Past P&amp;L'!#REF!,'2015-Past P&amp;L'!#REF!,'2015-Past P&amp;L'!#REF!,'2015-Past P&amp;L'!#REF!,'2015-Past P&amp;L'!#REF!,'2015-Past P&amp;L'!#REF!,'2015-Past P&amp;L'!#REF!,'2015-Past P&amp;L'!#REF!,'2015-Past P&amp;L'!#REF!,'2015-Past P&amp;L'!#REF!,'2015-Past P&amp;L'!#REF!,'2015-Past P&amp;L'!#REF!,'2015-Past P&amp;L'!#REF!,'2015-Past P&amp;L'!#REF!</definedName>
    <definedName name="QB_FORMULA_34" localSheetId="1" hidden="1">'2015-Past P&amp;L'!#REF!,'2015-Past P&amp;L'!#REF!,'2015-Past P&amp;L'!#REF!,'2015-Past P&amp;L'!#REF!,'2015-Past P&amp;L'!#REF!,'2015-Past P&amp;L'!#REF!,'2015-Past P&amp;L'!#REF!,'2015-Past P&amp;L'!#REF!,'2015-Past P&amp;L'!#REF!,'2015-Past P&amp;L'!#REF!,'2015-Past P&amp;L'!#REF!,'2015-Past P&amp;L'!#REF!,'2015-Past P&amp;L'!#REF!,'2015-Past P&amp;L'!#REF!,'2015-Past P&amp;L'!#REF!,'2015-Past P&amp;L'!#REF!</definedName>
    <definedName name="QB_FORMULA_35" localSheetId="1" hidden="1">'2015-Past P&amp;L'!#REF!,'2015-Past P&amp;L'!#REF!,'2015-Past P&amp;L'!#REF!,'2015-Past P&amp;L'!#REF!,'2015-Past P&amp;L'!#REF!,'2015-Past P&amp;L'!#REF!,'2015-Past P&amp;L'!#REF!,'2015-Past P&amp;L'!#REF!,'2015-Past P&amp;L'!#REF!,'2015-Past P&amp;L'!#REF!,'2015-Past P&amp;L'!#REF!,'2015-Past P&amp;L'!#REF!,'2015-Past P&amp;L'!#REF!,'2015-Past P&amp;L'!#REF!,'2015-Past P&amp;L'!#REF!,'2015-Past P&amp;L'!#REF!</definedName>
    <definedName name="QB_FORMULA_36" localSheetId="1" hidden="1">'2015-Past P&amp;L'!#REF!,'2015-Past P&amp;L'!#REF!,'2015-Past P&amp;L'!#REF!,'2015-Past P&amp;L'!#REF!,'2015-Past P&amp;L'!#REF!,'2015-Past P&amp;L'!#REF!,'2015-Past P&amp;L'!#REF!,'2015-Past P&amp;L'!#REF!,'2015-Past P&amp;L'!#REF!,'2015-Past P&amp;L'!#REF!,'2015-Past P&amp;L'!#REF!,'2015-Past P&amp;L'!#REF!,'2015-Past P&amp;L'!#REF!,'2015-Past P&amp;L'!#REF!,'2015-Past P&amp;L'!#REF!,'2015-Past P&amp;L'!#REF!</definedName>
    <definedName name="QB_FORMULA_37" localSheetId="1" hidden="1">'2015-Past P&amp;L'!#REF!,'2015-Past P&amp;L'!#REF!,'2015-Past P&amp;L'!#REF!,'2015-Past P&amp;L'!#REF!,'2015-Past P&amp;L'!#REF!,'2015-Past P&amp;L'!#REF!,'2015-Past P&amp;L'!#REF!,'2015-Past P&amp;L'!#REF!,'2015-Past P&amp;L'!#REF!,'2015-Past P&amp;L'!#REF!,'2015-Past P&amp;L'!#REF!,'2015-Past P&amp;L'!#REF!,'2015-Past P&amp;L'!#REF!,'2015-Past P&amp;L'!#REF!,'2015-Past P&amp;L'!#REF!,'2015-Past P&amp;L'!#REF!</definedName>
    <definedName name="QB_FORMULA_38" localSheetId="1" hidden="1">'2015-Past P&amp;L'!#REF!,'2015-Past P&amp;L'!#REF!,'2015-Past P&amp;L'!#REF!,'2015-Past P&amp;L'!#REF!,'2015-Past P&amp;L'!#REF!,'2015-Past P&amp;L'!#REF!,'2015-Past P&amp;L'!#REF!,'2015-Past P&amp;L'!#REF!,'2015-Past P&amp;L'!#REF!,'2015-Past P&amp;L'!#REF!,'2015-Past P&amp;L'!#REF!,'2015-Past P&amp;L'!#REF!,'2015-Past P&amp;L'!#REF!,'2015-Past P&amp;L'!#REF!,'2015-Past P&amp;L'!#REF!,'2015-Past P&amp;L'!#REF!</definedName>
    <definedName name="QB_FORMULA_39" localSheetId="1" hidden="1">'2015-Past P&amp;L'!#REF!,'2015-Past P&amp;L'!#REF!,'2015-Past P&amp;L'!#REF!,'2015-Past P&amp;L'!#REF!,'2015-Past P&amp;L'!#REF!,'2015-Past P&amp;L'!#REF!,'2015-Past P&amp;L'!#REF!,'2015-Past P&amp;L'!#REF!,'2015-Past P&amp;L'!#REF!,'2015-Past P&amp;L'!#REF!,'2015-Past P&amp;L'!#REF!,'2015-Past P&amp;L'!#REF!,'2015-Past P&amp;L'!#REF!,'2015-Past P&amp;L'!#REF!,'2015-Past P&amp;L'!#REF!,'2015-Past P&amp;L'!#REF!</definedName>
    <definedName name="QB_FORMULA_4" localSheetId="3" hidden="1">'2015-Commitments by month'!#REF!,'2015-Commitments by month'!#REF!,'2015-Commitments by month'!#REF!,'2015-Commitments by month'!#REF!,'2015-Commitments by month'!#REF!,'2015-Commitments by month'!#REF!,'2015-Commitments by month'!#REF!,'2015-Commitments by month'!#REF!,'2015-Commitments by month'!#REF!,'2015-Commitments by month'!#REF!,'2015-Commitments by month'!#REF!,'2015-Commitments by month'!#REF!,'2015-Commitments by month'!#REF!,'2015-Commitments by month'!#REF!,'2015-Commitments by month'!#REF!,'2015-Commitments by month'!#REF!</definedName>
    <definedName name="QB_FORMULA_4" localSheetId="5" hidden="1">'2015-Fundraising costs'!$P$24,'2015-Fundraising costs'!$R$24,'2015-Fundraising costs'!$T$24,'2015-Fundraising costs'!$V$24,'2015-Fundraising costs'!$X$24,'2015-Fundraising costs'!$Z$24,'2015-Fundraising costs'!$AB$24,'2015-Fundraising costs'!$AD$24,'2015-Fundraising costs'!$AF$24,'2015-Fundraising costs'!$AH$24,'2015-Fundraising costs'!$AJ$24,'2015-Fundraising costs'!$AL$24,'2015-Fundraising costs'!$AN$24,'2015-Fundraising costs'!$AP$24,'2015-Fundraising costs'!$AR$24,'2015-Fundraising costs'!$AT$24</definedName>
    <definedName name="QB_FORMULA_4" localSheetId="2" hidden="1">'2015-Future budget'!$P$24,'2015-Future budget'!$R$24,'2015-Future budget'!$S$24,'2015-Future budget'!$I$25,'2015-Future budget'!$L$25,'2015-Future budget'!$P$25,'2015-Future budget'!$R$25,'2015-Future budget'!$S$25,'2015-Future budget'!$I$26,'2015-Future budget'!$L$26,'2015-Future budget'!$P$26,'2015-Future budget'!$R$26,'2015-Future budget'!$S$26,'2015-Future budget'!$I$27,'2015-Future budget'!$L$27,'2015-Future budget'!$P$27</definedName>
    <definedName name="QB_FORMULA_4" localSheetId="1" hidden="1">'2015-Past P&amp;L'!#REF!,'2015-Past P&amp;L'!#REF!,'2015-Past P&amp;L'!#REF!,'2015-Past P&amp;L'!#REF!,'2015-Past P&amp;L'!#REF!,'2015-Past P&amp;L'!#REF!,'2015-Past P&amp;L'!#REF!,'2015-Past P&amp;L'!#REF!,'2015-Past P&amp;L'!#REF!,'2015-Past P&amp;L'!#REF!,'2015-Past P&amp;L'!#REF!,'2015-Past P&amp;L'!#REF!,'2015-Past P&amp;L'!#REF!,'2015-Past P&amp;L'!#REF!,'2015-Past P&amp;L'!#REF!,'2015-Past P&amp;L'!#REF!</definedName>
    <definedName name="QB_FORMULA_40" localSheetId="1" hidden="1">'2015-Past P&amp;L'!#REF!,'2015-Past P&amp;L'!#REF!,'2015-Past P&amp;L'!#REF!,'2015-Past P&amp;L'!#REF!,'2015-Past P&amp;L'!#REF!,'2015-Past P&amp;L'!#REF!,'2015-Past P&amp;L'!#REF!,'2015-Past P&amp;L'!#REF!,'2015-Past P&amp;L'!#REF!,'2015-Past P&amp;L'!#REF!,'2015-Past P&amp;L'!#REF!,'2015-Past P&amp;L'!#REF!,'2015-Past P&amp;L'!#REF!,'2015-Past P&amp;L'!#REF!,'2015-Past P&amp;L'!#REF!,'2015-Past P&amp;L'!#REF!</definedName>
    <definedName name="QB_FORMULA_41" localSheetId="1" hidden="1">'2015-Past P&amp;L'!#REF!,'2015-Past P&amp;L'!#REF!,'2015-Past P&amp;L'!#REF!,'2015-Past P&amp;L'!#REF!,'2015-Past P&amp;L'!#REF!,'2015-Past P&amp;L'!#REF!,'2015-Past P&amp;L'!#REF!,'2015-Past P&amp;L'!#REF!,'2015-Past P&amp;L'!#REF!,'2015-Past P&amp;L'!#REF!,'2015-Past P&amp;L'!#REF!,'2015-Past P&amp;L'!#REF!,'2015-Past P&amp;L'!#REF!,'2015-Past P&amp;L'!#REF!,'2015-Past P&amp;L'!#REF!,'2015-Past P&amp;L'!#REF!</definedName>
    <definedName name="QB_FORMULA_42" localSheetId="1" hidden="1">'2015-Past P&amp;L'!#REF!,'2015-Past P&amp;L'!#REF!,'2015-Past P&amp;L'!#REF!,'2015-Past P&amp;L'!#REF!,'2015-Past P&amp;L'!#REF!,'2015-Past P&amp;L'!#REF!,'2015-Past P&amp;L'!#REF!,'2015-Past P&amp;L'!#REF!,'2015-Past P&amp;L'!#REF!,'2015-Past P&amp;L'!#REF!,'2015-Past P&amp;L'!#REF!,'2015-Past P&amp;L'!#REF!,'2015-Past P&amp;L'!#REF!,'2015-Past P&amp;L'!#REF!,'2015-Past P&amp;L'!#REF!,'2015-Past P&amp;L'!#REF!</definedName>
    <definedName name="QB_FORMULA_43" localSheetId="1" hidden="1">'2015-Past P&amp;L'!#REF!,'2015-Past P&amp;L'!#REF!,'2015-Past P&amp;L'!#REF!,'2015-Past P&amp;L'!#REF!,'2015-Past P&amp;L'!#REF!,'2015-Past P&amp;L'!#REF!,'2015-Past P&amp;L'!#REF!,'2015-Past P&amp;L'!#REF!,'2015-Past P&amp;L'!#REF!,'2015-Past P&amp;L'!#REF!,'2015-Past P&amp;L'!#REF!,'2015-Past P&amp;L'!#REF!,'2015-Past P&amp;L'!#REF!,'2015-Past P&amp;L'!#REF!,'2015-Past P&amp;L'!#REF!,'2015-Past P&amp;L'!#REF!</definedName>
    <definedName name="QB_FORMULA_44" localSheetId="1" hidden="1">'2015-Past P&amp;L'!#REF!,'2015-Past P&amp;L'!#REF!,'2015-Past P&amp;L'!#REF!,'2015-Past P&amp;L'!#REF!,'2015-Past P&amp;L'!#REF!,'2015-Past P&amp;L'!#REF!,'2015-Past P&amp;L'!#REF!,'2015-Past P&amp;L'!#REF!,'2015-Past P&amp;L'!#REF!,'2015-Past P&amp;L'!#REF!,'2015-Past P&amp;L'!#REF!,'2015-Past P&amp;L'!#REF!,'2015-Past P&amp;L'!#REF!,'2015-Past P&amp;L'!#REF!,'2015-Past P&amp;L'!#REF!,'2015-Past P&amp;L'!#REF!</definedName>
    <definedName name="QB_FORMULA_45" localSheetId="1" hidden="1">'2015-Past P&amp;L'!#REF!,'2015-Past P&amp;L'!#REF!,'2015-Past P&amp;L'!#REF!,'2015-Past P&amp;L'!#REF!,'2015-Past P&amp;L'!#REF!,'2015-Past P&amp;L'!#REF!,'2015-Past P&amp;L'!#REF!,'2015-Past P&amp;L'!#REF!,'2015-Past P&amp;L'!#REF!,'2015-Past P&amp;L'!#REF!,'2015-Past P&amp;L'!#REF!,'2015-Past P&amp;L'!#REF!,'2015-Past P&amp;L'!#REF!,'2015-Past P&amp;L'!#REF!,'2015-Past P&amp;L'!#REF!,'2015-Past P&amp;L'!#REF!</definedName>
    <definedName name="QB_FORMULA_46" localSheetId="1" hidden="1">'2015-Past P&amp;L'!#REF!,'2015-Past P&amp;L'!#REF!,'2015-Past P&amp;L'!#REF!,'2015-Past P&amp;L'!#REF!,'2015-Past P&amp;L'!#REF!,'2015-Past P&amp;L'!#REF!,'2015-Past P&amp;L'!#REF!,'2015-Past P&amp;L'!#REF!,'2015-Past P&amp;L'!#REF!,'2015-Past P&amp;L'!#REF!,'2015-Past P&amp;L'!#REF!,'2015-Past P&amp;L'!#REF!,'2015-Past P&amp;L'!#REF!,'2015-Past P&amp;L'!#REF!,'2015-Past P&amp;L'!#REF!,'2015-Past P&amp;L'!#REF!</definedName>
    <definedName name="QB_FORMULA_47" localSheetId="1" hidden="1">'2015-Past P&amp;L'!#REF!,'2015-Past P&amp;L'!#REF!,'2015-Past P&amp;L'!#REF!,'2015-Past P&amp;L'!#REF!,'2015-Past P&amp;L'!#REF!,'2015-Past P&amp;L'!#REF!,'2015-Past P&amp;L'!#REF!,'2015-Past P&amp;L'!#REF!,'2015-Past P&amp;L'!#REF!,'2015-Past P&amp;L'!#REF!,'2015-Past P&amp;L'!#REF!,'2015-Past P&amp;L'!#REF!,'2015-Past P&amp;L'!#REF!,'2015-Past P&amp;L'!#REF!,'2015-Past P&amp;L'!#REF!,'2015-Past P&amp;L'!#REF!</definedName>
    <definedName name="QB_FORMULA_48" localSheetId="1" hidden="1">'2015-Past P&amp;L'!#REF!,'2015-Past P&amp;L'!#REF!,'2015-Past P&amp;L'!#REF!,'2015-Past P&amp;L'!#REF!,'2015-Past P&amp;L'!#REF!,'2015-Past P&amp;L'!#REF!,'2015-Past P&amp;L'!#REF!,'2015-Past P&amp;L'!#REF!,'2015-Past P&amp;L'!#REF!,'2015-Past P&amp;L'!#REF!,'2015-Past P&amp;L'!#REF!,'2015-Past P&amp;L'!#REF!,'2015-Past P&amp;L'!#REF!,'2015-Past P&amp;L'!#REF!,'2015-Past P&amp;L'!#REF!,'2015-Past P&amp;L'!#REF!</definedName>
    <definedName name="QB_FORMULA_49" localSheetId="1" hidden="1">'2015-Past P&amp;L'!#REF!,'2015-Past P&amp;L'!#REF!,'2015-Past P&amp;L'!#REF!,'2015-Past P&amp;L'!#REF!,'2015-Past P&amp;L'!#REF!,'2015-Past P&amp;L'!#REF!,'2015-Past P&amp;L'!#REF!,'2015-Past P&amp;L'!#REF!,'2015-Past P&amp;L'!#REF!,'2015-Past P&amp;L'!#REF!,'2015-Past P&amp;L'!#REF!,'2015-Past P&amp;L'!#REF!,'2015-Past P&amp;L'!#REF!,'2015-Past P&amp;L'!#REF!,'2015-Past P&amp;L'!#REF!,'2015-Past P&amp;L'!#REF!</definedName>
    <definedName name="QB_FORMULA_5" localSheetId="3" hidden="1">'2015-Commitments by month'!#REF!,'2015-Commitments by month'!#REF!,'2015-Commitments by month'!#REF!,'2015-Commitments by month'!#REF!,'2015-Commitments by month'!#REF!,'2015-Commitments by month'!#REF!,'2015-Commitments by month'!#REF!,'2015-Commitments by month'!#REF!,'2015-Commitments by month'!#REF!,'2015-Commitments by month'!#REF!,'2015-Commitments by month'!#REF!,'2015-Commitments by month'!#REF!,'2015-Commitments by month'!#REF!,'2015-Commitments by month'!#REF!</definedName>
    <definedName name="QB_FORMULA_5" localSheetId="5" hidden="1">'2015-Fundraising costs'!$AV$24,'2015-Fundraising costs'!$AX$24,'2015-Fundraising costs'!$AZ$24,'2015-Fundraising costs'!$AZ$26,'2015-Fundraising costs'!$AZ$27,'2015-Fundraising costs'!$AZ$28,'2015-Fundraising costs'!$H$29,'2015-Fundraising costs'!$J$29,'2015-Fundraising costs'!$L$29,'2015-Fundraising costs'!$N$29,'2015-Fundraising costs'!$P$29,'2015-Fundraising costs'!$R$29,'2015-Fundraising costs'!$T$29,'2015-Fundraising costs'!$V$29,'2015-Fundraising costs'!$X$29,'2015-Fundraising costs'!$Z$29</definedName>
    <definedName name="QB_FORMULA_5" localSheetId="2" hidden="1">'2015-Future budget'!$R$27,'2015-Future budget'!$S$27,'2015-Future budget'!$I$28,'2015-Future budget'!$L$28,'2015-Future budget'!$P$28,'2015-Future budget'!$R$28,'2015-Future budget'!$S$28,'2015-Future budget'!$I$29,'2015-Future budget'!$L$29,'2015-Future budget'!$P$29,'2015-Future budget'!$R$29,'2015-Future budget'!$S$29,'2015-Future budget'!$H$30,'2015-Future budget'!$I$30,'2015-Future budget'!$J$30,'2015-Future budget'!$K$30</definedName>
    <definedName name="QB_FORMULA_5" localSheetId="1" hidden="1">'2015-Past P&amp;L'!#REF!,'2015-Past P&amp;L'!#REF!,'2015-Past P&amp;L'!#REF!,'2015-Past P&amp;L'!#REF!,'2015-Past P&amp;L'!#REF!,'2015-Past P&amp;L'!#REF!,'2015-Past P&amp;L'!#REF!,'2015-Past P&amp;L'!#REF!,'2015-Past P&amp;L'!#REF!,'2015-Past P&amp;L'!#REF!,'2015-Past P&amp;L'!#REF!,'2015-Past P&amp;L'!#REF!,'2015-Past P&amp;L'!#REF!,'2015-Past P&amp;L'!#REF!,'2015-Past P&amp;L'!#REF!,'2015-Past P&amp;L'!#REF!</definedName>
    <definedName name="QB_FORMULA_50" localSheetId="1" hidden="1">'2015-Past P&amp;L'!#REF!,'2015-Past P&amp;L'!#REF!,'2015-Past P&amp;L'!#REF!,'2015-Past P&amp;L'!#REF!,'2015-Past P&amp;L'!#REF!,'2015-Past P&amp;L'!#REF!,'2015-Past P&amp;L'!#REF!,'2015-Past P&amp;L'!#REF!,'2015-Past P&amp;L'!#REF!,'2015-Past P&amp;L'!#REF!,'2015-Past P&amp;L'!#REF!,'2015-Past P&amp;L'!#REF!,'2015-Past P&amp;L'!$R$7,'2015-Past P&amp;L'!$W$7,'2015-Past P&amp;L'!$Y$7,'2015-Past P&amp;L'!$AE$7</definedName>
    <definedName name="QB_FORMULA_51" localSheetId="1" hidden="1">'2015-Past P&amp;L'!$AG$7,'2015-Past P&amp;L'!$AP$7,'2015-Past P&amp;L'!$AS$7,'2015-Past P&amp;L'!#REF!,'2015-Past P&amp;L'!#REF!,'2015-Past P&amp;L'!#REF!,'2015-Past P&amp;L'!#REF!,'2015-Past P&amp;L'!#REF!,'2015-Past P&amp;L'!#REF!,'2015-Past P&amp;L'!#REF!,'2015-Past P&amp;L'!$R$8,'2015-Past P&amp;L'!$W$8,'2015-Past P&amp;L'!$Y$8,'2015-Past P&amp;L'!$AE$8,'2015-Past P&amp;L'!$AG$8,'2015-Past P&amp;L'!$AP$8</definedName>
    <definedName name="QB_FORMULA_52" localSheetId="1" hidden="1">'2015-Past P&amp;L'!$AS$8,'2015-Past P&amp;L'!$R$9,'2015-Past P&amp;L'!$W$9,'2015-Past P&amp;L'!$Y$9,'2015-Past P&amp;L'!$AE$9,'2015-Past P&amp;L'!$AG$9,'2015-Past P&amp;L'!$AP$9,'2015-Past P&amp;L'!$AS$9,'2015-Past P&amp;L'!$I$10,'2015-Past P&amp;L'!$J$10,'2015-Past P&amp;L'!$K$10,'2015-Past P&amp;L'!$L$10,'2015-Past P&amp;L'!$M$10,'2015-Past P&amp;L'!$N$10,'2015-Past P&amp;L'!$O$10,'2015-Past P&amp;L'!$P$10</definedName>
    <definedName name="QB_FORMULA_53" localSheetId="1" hidden="1">'2015-Past P&amp;L'!$Q$10,'2015-Past P&amp;L'!$R$10,'2015-Past P&amp;L'!$S$10,'2015-Past P&amp;L'!$T$10,'2015-Past P&amp;L'!$U$10,'2015-Past P&amp;L'!$V$10,'2015-Past P&amp;L'!$W$10,'2015-Past P&amp;L'!$X$10,'2015-Past P&amp;L'!$Y$10,'2015-Past P&amp;L'!$Z$10,'2015-Past P&amp;L'!$AA$10,'2015-Past P&amp;L'!$AB$10,'2015-Past P&amp;L'!$AC$10,'2015-Past P&amp;L'!$AD$10,'2015-Past P&amp;L'!$AE$10,'2015-Past P&amp;L'!$AF$10</definedName>
    <definedName name="QB_FORMULA_54" localSheetId="1" hidden="1">'2015-Past P&amp;L'!$AG$10,'2015-Past P&amp;L'!$AH$10,'2015-Past P&amp;L'!$AI$10,'2015-Past P&amp;L'!$AJ$10,'2015-Past P&amp;L'!$AK$10,'2015-Past P&amp;L'!$AL$10,'2015-Past P&amp;L'!$AM$10,'2015-Past P&amp;L'!$AN$10,'2015-Past P&amp;L'!$AO$10,'2015-Past P&amp;L'!$AP$10,'2015-Past P&amp;L'!$AQ$10,'2015-Past P&amp;L'!$AR$10,'2015-Past P&amp;L'!$AS$10,'2015-Past P&amp;L'!$R$12,'2015-Past P&amp;L'!$W$12,'2015-Past P&amp;L'!$Y$12</definedName>
    <definedName name="QB_FORMULA_55" localSheetId="1" hidden="1">'2015-Past P&amp;L'!$AE$12,'2015-Past P&amp;L'!$AG$12,'2015-Past P&amp;L'!$AP$12,'2015-Past P&amp;L'!$AS$12,'2015-Past P&amp;L'!$R$13,'2015-Past P&amp;L'!$W$13,'2015-Past P&amp;L'!$Y$13,'2015-Past P&amp;L'!$AE$13,'2015-Past P&amp;L'!$AG$13,'2015-Past P&amp;L'!$AP$13,'2015-Past P&amp;L'!$AS$13,'2015-Past P&amp;L'!$R$14,'2015-Past P&amp;L'!$W$14,'2015-Past P&amp;L'!$Y$14,'2015-Past P&amp;L'!$AE$14,'2015-Past P&amp;L'!$AG$14</definedName>
    <definedName name="QB_FORMULA_56" localSheetId="1" hidden="1">'2015-Past P&amp;L'!$AP$14,'2015-Past P&amp;L'!$AS$14,'2015-Past P&amp;L'!$I$15,'2015-Past P&amp;L'!$J$15,'2015-Past P&amp;L'!$K$15,'2015-Past P&amp;L'!$L$15,'2015-Past P&amp;L'!$M$15,'2015-Past P&amp;L'!$N$15,'2015-Past P&amp;L'!$O$15,'2015-Past P&amp;L'!$P$15,'2015-Past P&amp;L'!$Q$15,'2015-Past P&amp;L'!$R$15,'2015-Past P&amp;L'!$S$15,'2015-Past P&amp;L'!$T$15,'2015-Past P&amp;L'!$U$15,'2015-Past P&amp;L'!$V$15</definedName>
    <definedName name="QB_FORMULA_57" localSheetId="1" hidden="1">'2015-Past P&amp;L'!$W$15,'2015-Past P&amp;L'!$X$15,'2015-Past P&amp;L'!$Y$15,'2015-Past P&amp;L'!$Z$15,'2015-Past P&amp;L'!$AA$15,'2015-Past P&amp;L'!$AB$15,'2015-Past P&amp;L'!$AC$15,'2015-Past P&amp;L'!$AD$15,'2015-Past P&amp;L'!$AE$15,'2015-Past P&amp;L'!$AF$15,'2015-Past P&amp;L'!$AG$15,'2015-Past P&amp;L'!$AH$15,'2015-Past P&amp;L'!$AI$15,'2015-Past P&amp;L'!$AJ$15,'2015-Past P&amp;L'!$AK$15,'2015-Past P&amp;L'!$AL$15</definedName>
    <definedName name="QB_FORMULA_58" localSheetId="1" hidden="1">'2015-Past P&amp;L'!$AM$15,'2015-Past P&amp;L'!$AN$15,'2015-Past P&amp;L'!$AO$15,'2015-Past P&amp;L'!$AP$15,'2015-Past P&amp;L'!$AQ$15,'2015-Past P&amp;L'!$AR$15,'2015-Past P&amp;L'!$AS$15,'2015-Past P&amp;L'!$R$17,'2015-Past P&amp;L'!$W$17,'2015-Past P&amp;L'!$Y$17,'2015-Past P&amp;L'!$AE$17,'2015-Past P&amp;L'!$AG$17,'2015-Past P&amp;L'!$AP$17,'2015-Past P&amp;L'!$AS$17,'2015-Past P&amp;L'!$R$18,'2015-Past P&amp;L'!$W$18</definedName>
    <definedName name="QB_FORMULA_59" localSheetId="1" hidden="1">'2015-Past P&amp;L'!$Y$18,'2015-Past P&amp;L'!$AE$18,'2015-Past P&amp;L'!$AG$18,'2015-Past P&amp;L'!$AP$18,'2015-Past P&amp;L'!$AS$18,'2015-Past P&amp;L'!$R$19,'2015-Past P&amp;L'!$W$19,'2015-Past P&amp;L'!$Y$19,'2015-Past P&amp;L'!$AE$19,'2015-Past P&amp;L'!$AG$19,'2015-Past P&amp;L'!$AP$19,'2015-Past P&amp;L'!$AS$19,'2015-Past P&amp;L'!$R$20,'2015-Past P&amp;L'!$W$20,'2015-Past P&amp;L'!$Y$20,'2015-Past P&amp;L'!$AE$20</definedName>
    <definedName name="QB_FORMULA_6" localSheetId="5" hidden="1">'2015-Fundraising costs'!$AB$29,'2015-Fundraising costs'!$AD$29,'2015-Fundraising costs'!$AF$29,'2015-Fundraising costs'!$AH$29,'2015-Fundraising costs'!$AJ$29,'2015-Fundraising costs'!$AL$29,'2015-Fundraising costs'!$AN$29,'2015-Fundraising costs'!$AP$29,'2015-Fundraising costs'!$AR$29,'2015-Fundraising costs'!$AT$29,'2015-Fundraising costs'!$AV$29,'2015-Fundraising costs'!$AX$29,'2015-Fundraising costs'!$AZ$29,'2015-Fundraising costs'!$AZ$31,'2015-Fundraising costs'!$AZ$32,'2015-Fundraising costs'!$AZ$33</definedName>
    <definedName name="QB_FORMULA_6" localSheetId="2" hidden="1">'2015-Future budget'!$L$30,'2015-Future budget'!$M$30,'2015-Future budget'!$N$30,'2015-Future budget'!$O$30,'2015-Future budget'!$P$30,'2015-Future budget'!$Q$30,'2015-Future budget'!$R$30,'2015-Future budget'!$S$30,'2015-Future budget'!$P$32,'2015-Future budget'!$R$32,'2015-Future budget'!$S$32,'2015-Future budget'!$I$33,'2015-Future budget'!$L$33,'2015-Future budget'!$P$33,'2015-Future budget'!$R$33,'2015-Future budget'!$S$33</definedName>
    <definedName name="QB_FORMULA_6" localSheetId="1" hidden="1">'2015-Past P&amp;L'!#REF!,'2015-Past P&amp;L'!#REF!,'2015-Past P&amp;L'!#REF!,'2015-Past P&amp;L'!#REF!,'2015-Past P&amp;L'!#REF!,'2015-Past P&amp;L'!#REF!,'2015-Past P&amp;L'!#REF!,'2015-Past P&amp;L'!#REF!,'2015-Past P&amp;L'!#REF!,'2015-Past P&amp;L'!#REF!,'2015-Past P&amp;L'!#REF!,'2015-Past P&amp;L'!#REF!,'2015-Past P&amp;L'!#REF!,'2015-Past P&amp;L'!#REF!,'2015-Past P&amp;L'!#REF!,'2015-Past P&amp;L'!#REF!</definedName>
    <definedName name="QB_FORMULA_60" localSheetId="1" hidden="1">'2015-Past P&amp;L'!$AG$20,'2015-Past P&amp;L'!$AP$20,'2015-Past P&amp;L'!$AS$20,'2015-Past P&amp;L'!$R$21,'2015-Past P&amp;L'!$W$21,'2015-Past P&amp;L'!$Y$21,'2015-Past P&amp;L'!$AE$21,'2015-Past P&amp;L'!$AG$21,'2015-Past P&amp;L'!$AP$21,'2015-Past P&amp;L'!$AS$21,'2015-Past P&amp;L'!$I$22,'2015-Past P&amp;L'!$J$22,'2015-Past P&amp;L'!$K$22,'2015-Past P&amp;L'!$L$22,'2015-Past P&amp;L'!$M$22,'2015-Past P&amp;L'!$N$22</definedName>
    <definedName name="QB_FORMULA_61" localSheetId="1" hidden="1">'2015-Past P&amp;L'!$O$22,'2015-Past P&amp;L'!$P$22,'2015-Past P&amp;L'!$Q$22,'2015-Past P&amp;L'!$R$22,'2015-Past P&amp;L'!$S$22,'2015-Past P&amp;L'!$T$22,'2015-Past P&amp;L'!$U$22,'2015-Past P&amp;L'!$V$22,'2015-Past P&amp;L'!$W$22,'2015-Past P&amp;L'!$X$22,'2015-Past P&amp;L'!$Y$22,'2015-Past P&amp;L'!$Z$22,'2015-Past P&amp;L'!$AA$22,'2015-Past P&amp;L'!$AB$22,'2015-Past P&amp;L'!$AC$22,'2015-Past P&amp;L'!$AD$22</definedName>
    <definedName name="QB_FORMULA_62" localSheetId="1" hidden="1">'2015-Past P&amp;L'!$AE$22,'2015-Past P&amp;L'!$AF$22,'2015-Past P&amp;L'!$AG$22,'2015-Past P&amp;L'!$AH$22,'2015-Past P&amp;L'!$AI$22,'2015-Past P&amp;L'!$AJ$22,'2015-Past P&amp;L'!$AK$22,'2015-Past P&amp;L'!$AL$22,'2015-Past P&amp;L'!$AM$22,'2015-Past P&amp;L'!$AN$22,'2015-Past P&amp;L'!$AO$22,'2015-Past P&amp;L'!$AP$22,'2015-Past P&amp;L'!$AQ$22,'2015-Past P&amp;L'!$AR$22,'2015-Past P&amp;L'!$AS$22,'2015-Past P&amp;L'!$R$24</definedName>
    <definedName name="QB_FORMULA_63" localSheetId="1" hidden="1">'2015-Past P&amp;L'!$W$24,'2015-Past P&amp;L'!$Y$24,'2015-Past P&amp;L'!$AE$24,'2015-Past P&amp;L'!$AG$24,'2015-Past P&amp;L'!$AP$24,'2015-Past P&amp;L'!$AS$24,'2015-Past P&amp;L'!$R$25,'2015-Past P&amp;L'!$W$25,'2015-Past P&amp;L'!$Y$25,'2015-Past P&amp;L'!$AE$25,'2015-Past P&amp;L'!$AG$25,'2015-Past P&amp;L'!$AP$25,'2015-Past P&amp;L'!$AS$25,'2015-Past P&amp;L'!$R$26,'2015-Past P&amp;L'!$W$26,'2015-Past P&amp;L'!$Y$26</definedName>
    <definedName name="QB_FORMULA_64" localSheetId="1" hidden="1">'2015-Past P&amp;L'!$AE$26,'2015-Past P&amp;L'!$AG$26,'2015-Past P&amp;L'!$AP$26,'2015-Past P&amp;L'!$AS$26,'2015-Past P&amp;L'!$R$27,'2015-Past P&amp;L'!$W$27,'2015-Past P&amp;L'!$Y$27,'2015-Past P&amp;L'!$AE$27,'2015-Past P&amp;L'!$AG$27,'2015-Past P&amp;L'!$AP$27,'2015-Past P&amp;L'!$AS$27,'2015-Past P&amp;L'!$R$28,'2015-Past P&amp;L'!$W$28,'2015-Past P&amp;L'!$Y$28,'2015-Past P&amp;L'!$AE$28,'2015-Past P&amp;L'!$AG$28</definedName>
    <definedName name="QB_FORMULA_65" localSheetId="1" hidden="1">'2015-Past P&amp;L'!$AP$28,'2015-Past P&amp;L'!$AS$28,'2015-Past P&amp;L'!$R$29,'2015-Past P&amp;L'!$W$29,'2015-Past P&amp;L'!$Y$29,'2015-Past P&amp;L'!$AE$29,'2015-Past P&amp;L'!$AG$29,'2015-Past P&amp;L'!$AP$29,'2015-Past P&amp;L'!$AS$29,'2015-Past P&amp;L'!$R$30,'2015-Past P&amp;L'!$W$30,'2015-Past P&amp;L'!$Y$30,'2015-Past P&amp;L'!$AE$30,'2015-Past P&amp;L'!$AG$30,'2015-Past P&amp;L'!$AP$30,'2015-Past P&amp;L'!$AS$30</definedName>
    <definedName name="QB_FORMULA_66" localSheetId="1" hidden="1">'2015-Past P&amp;L'!$R$31,'2015-Past P&amp;L'!$W$31,'2015-Past P&amp;L'!$Y$31,'2015-Past P&amp;L'!$AE$31,'2015-Past P&amp;L'!$AG$31,'2015-Past P&amp;L'!$AP$31,'2015-Past P&amp;L'!$AS$31,'2015-Past P&amp;L'!$R$32,'2015-Past P&amp;L'!$W$32,'2015-Past P&amp;L'!$Y$32,'2015-Past P&amp;L'!$AE$32,'2015-Past P&amp;L'!$AG$32,'2015-Past P&amp;L'!$AP$32,'2015-Past P&amp;L'!$AS$32,'2015-Past P&amp;L'!$R$33,'2015-Past P&amp;L'!$W$33</definedName>
    <definedName name="QB_FORMULA_67" localSheetId="1" hidden="1">'2015-Past P&amp;L'!$Y$33,'2015-Past P&amp;L'!$AE$33,'2015-Past P&amp;L'!$AG$33,'2015-Past P&amp;L'!$AP$33,'2015-Past P&amp;L'!$AS$33,'2015-Past P&amp;L'!$R$34,'2015-Past P&amp;L'!$W$34,'2015-Past P&amp;L'!$Y$34,'2015-Past P&amp;L'!$AE$34,'2015-Past P&amp;L'!$AG$34,'2015-Past P&amp;L'!$AP$34,'2015-Past P&amp;L'!$AS$34,'2015-Past P&amp;L'!$R$35,'2015-Past P&amp;L'!$W$35,'2015-Past P&amp;L'!$Y$35,'2015-Past P&amp;L'!$AE$35</definedName>
    <definedName name="QB_FORMULA_68" localSheetId="1" hidden="1">'2015-Past P&amp;L'!$AG$35,'2015-Past P&amp;L'!$AP$35,'2015-Past P&amp;L'!$AS$35,'2015-Past P&amp;L'!$R$36,'2015-Past P&amp;L'!$W$36,'2015-Past P&amp;L'!$Y$36,'2015-Past P&amp;L'!$AE$36,'2015-Past P&amp;L'!$AG$36,'2015-Past P&amp;L'!$AP$36,'2015-Past P&amp;L'!$AS$36,'2015-Past P&amp;L'!$I$37,'2015-Past P&amp;L'!$J$37,'2015-Past P&amp;L'!$K$37,'2015-Past P&amp;L'!$L$37,'2015-Past P&amp;L'!$M$37,'2015-Past P&amp;L'!$N$37</definedName>
    <definedName name="QB_FORMULA_69" localSheetId="1" hidden="1">'2015-Past P&amp;L'!$O$37,'2015-Past P&amp;L'!$P$37,'2015-Past P&amp;L'!$Q$37,'2015-Past P&amp;L'!$R$37,'2015-Past P&amp;L'!$S$37,'2015-Past P&amp;L'!$T$37,'2015-Past P&amp;L'!$U$37,'2015-Past P&amp;L'!$V$37,'2015-Past P&amp;L'!$W$37,'2015-Past P&amp;L'!$X$37,'2015-Past P&amp;L'!$Y$37,'2015-Past P&amp;L'!$Z$37,'2015-Past P&amp;L'!$AA$37,'2015-Past P&amp;L'!$AB$37,'2015-Past P&amp;L'!$AC$37,'2015-Past P&amp;L'!$AD$37</definedName>
    <definedName name="QB_FORMULA_7" localSheetId="5" hidden="1">'2015-Fundraising costs'!$AZ$34,'2015-Fundraising costs'!$AZ$35,'2015-Fundraising costs'!$AZ$36,'2015-Fundraising costs'!$AZ$37,'2015-Fundraising costs'!$AZ$38,'2015-Fundraising costs'!$AZ$39,'2015-Fundraising costs'!$AZ$40,'2015-Fundraising costs'!$AZ$41,'2015-Fundraising costs'!$AZ$42,'2015-Fundraising costs'!$H$43,'2015-Fundraising costs'!$J$43,'2015-Fundraising costs'!$L$43,'2015-Fundraising costs'!$N$43,'2015-Fundraising costs'!$P$43,'2015-Fundraising costs'!$R$43,'2015-Fundraising costs'!$T$43</definedName>
    <definedName name="QB_FORMULA_7" localSheetId="2" hidden="1">'2015-Future budget'!$I$34,'2015-Future budget'!$L$34,'2015-Future budget'!$P$34,'2015-Future budget'!$R$34,'2015-Future budget'!$S$34,'2015-Future budget'!$I$35,'2015-Future budget'!$L$35,'2015-Future budget'!$P$35,'2015-Future budget'!$R$35,'2015-Future budget'!$S$35,'2015-Future budget'!$I$36,'2015-Future budget'!$L$36,'2015-Future budget'!$P$36,'2015-Future budget'!$R$36,'2015-Future budget'!$S$36,'2015-Future budget'!$I$37</definedName>
    <definedName name="QB_FORMULA_7" localSheetId="1" hidden="1">'2015-Past P&amp;L'!#REF!,'2015-Past P&amp;L'!#REF!,'2015-Past P&amp;L'!#REF!,'2015-Past P&amp;L'!#REF!,'2015-Past P&amp;L'!#REF!,'2015-Past P&amp;L'!#REF!,'2015-Past P&amp;L'!#REF!,'2015-Past P&amp;L'!#REF!,'2015-Past P&amp;L'!#REF!,'2015-Past P&amp;L'!#REF!,'2015-Past P&amp;L'!#REF!,'2015-Past P&amp;L'!#REF!,'2015-Past P&amp;L'!#REF!,'2015-Past P&amp;L'!#REF!,'2015-Past P&amp;L'!#REF!,'2015-Past P&amp;L'!#REF!</definedName>
    <definedName name="QB_FORMULA_70" localSheetId="1" hidden="1">'2015-Past P&amp;L'!$AE$37,'2015-Past P&amp;L'!$AF$37,'2015-Past P&amp;L'!$AG$37,'2015-Past P&amp;L'!$AH$37,'2015-Past P&amp;L'!$AI$37,'2015-Past P&amp;L'!$AJ$37,'2015-Past P&amp;L'!$AK$37,'2015-Past P&amp;L'!$AL$37,'2015-Past P&amp;L'!$AM$37,'2015-Past P&amp;L'!$AN$37,'2015-Past P&amp;L'!$AO$37,'2015-Past P&amp;L'!$AP$37,'2015-Past P&amp;L'!$AQ$37,'2015-Past P&amp;L'!$AR$37,'2015-Past P&amp;L'!$AS$37,'2015-Past P&amp;L'!$R$38</definedName>
    <definedName name="QB_FORMULA_71" localSheetId="1" hidden="1">'2015-Past P&amp;L'!$W$38,'2015-Past P&amp;L'!$Y$38,'2015-Past P&amp;L'!$AE$38,'2015-Past P&amp;L'!$AG$38,'2015-Past P&amp;L'!$AP$38,'2015-Past P&amp;L'!$AS$38,'2015-Past P&amp;L'!$I$39,'2015-Past P&amp;L'!$J$39,'2015-Past P&amp;L'!$K$39,'2015-Past P&amp;L'!$L$39,'2015-Past P&amp;L'!$M$39,'2015-Past P&amp;L'!$N$39,'2015-Past P&amp;L'!$O$39,'2015-Past P&amp;L'!$P$39,'2015-Past P&amp;L'!$Q$39,'2015-Past P&amp;L'!$R$39</definedName>
    <definedName name="QB_FORMULA_72" localSheetId="1" hidden="1">'2015-Past P&amp;L'!$S$39,'2015-Past P&amp;L'!$T$39,'2015-Past P&amp;L'!$U$39,'2015-Past P&amp;L'!$V$39,'2015-Past P&amp;L'!$W$39,'2015-Past P&amp;L'!$X$39,'2015-Past P&amp;L'!$Y$39,'2015-Past P&amp;L'!$Z$39,'2015-Past P&amp;L'!$AA$39,'2015-Past P&amp;L'!$AB$39,'2015-Past P&amp;L'!$AC$39,'2015-Past P&amp;L'!$AD$39,'2015-Past P&amp;L'!$AE$39,'2015-Past P&amp;L'!$AF$39,'2015-Past P&amp;L'!$AG$39,'2015-Past P&amp;L'!$AH$39</definedName>
    <definedName name="QB_FORMULA_73" localSheetId="1" hidden="1">'2015-Past P&amp;L'!$AI$39,'2015-Past P&amp;L'!$AJ$39,'2015-Past P&amp;L'!$AK$39,'2015-Past P&amp;L'!$AL$39,'2015-Past P&amp;L'!$AM$39,'2015-Past P&amp;L'!$AN$39,'2015-Past P&amp;L'!$AO$39,'2015-Past P&amp;L'!$AP$39,'2015-Past P&amp;L'!$AQ$39,'2015-Past P&amp;L'!$AR$39,'2015-Past P&amp;L'!$AS$39,'2015-Past P&amp;L'!$R$42,'2015-Past P&amp;L'!$W$42,'2015-Past P&amp;L'!$Y$42,'2015-Past P&amp;L'!$AE$42,'2015-Past P&amp;L'!$AG$42</definedName>
    <definedName name="QB_FORMULA_74" localSheetId="1" hidden="1">'2015-Past P&amp;L'!$AP$42,'2015-Past P&amp;L'!$AS$42,'2015-Past P&amp;L'!$R$43,'2015-Past P&amp;L'!$W$43,'2015-Past P&amp;L'!$Y$43,'2015-Past P&amp;L'!$AE$43,'2015-Past P&amp;L'!$AG$43,'2015-Past P&amp;L'!$AP$43,'2015-Past P&amp;L'!$AS$43,'2015-Past P&amp;L'!$R$44,'2015-Past P&amp;L'!$W$44,'2015-Past P&amp;L'!$Y$44,'2015-Past P&amp;L'!$AE$44,'2015-Past P&amp;L'!$AG$44,'2015-Past P&amp;L'!$AP$44,'2015-Past P&amp;L'!$AS$44</definedName>
    <definedName name="QB_FORMULA_75" localSheetId="1" hidden="1">'2015-Past P&amp;L'!$I$45,'2015-Past P&amp;L'!$J$45,'2015-Past P&amp;L'!$K$45,'2015-Past P&amp;L'!$L$45,'2015-Past P&amp;L'!$M$45,'2015-Past P&amp;L'!$N$45,'2015-Past P&amp;L'!$O$45,'2015-Past P&amp;L'!$P$45,'2015-Past P&amp;L'!$Q$45,'2015-Past P&amp;L'!$R$45,'2015-Past P&amp;L'!$S$45,'2015-Past P&amp;L'!$T$45,'2015-Past P&amp;L'!$U$45,'2015-Past P&amp;L'!$V$45,'2015-Past P&amp;L'!$W$45,'2015-Past P&amp;L'!$X$45</definedName>
    <definedName name="QB_FORMULA_76" localSheetId="1" hidden="1">'2015-Past P&amp;L'!$Y$45,'2015-Past P&amp;L'!$Z$45,'2015-Past P&amp;L'!$AA$45,'2015-Past P&amp;L'!$AB$45,'2015-Past P&amp;L'!$AC$45,'2015-Past P&amp;L'!$AD$45,'2015-Past P&amp;L'!$AE$45,'2015-Past P&amp;L'!$AF$45,'2015-Past P&amp;L'!$AG$45,'2015-Past P&amp;L'!$AH$45,'2015-Past P&amp;L'!$AI$45,'2015-Past P&amp;L'!$AJ$45,'2015-Past P&amp;L'!$AK$45,'2015-Past P&amp;L'!$AL$45,'2015-Past P&amp;L'!$AM$45,'2015-Past P&amp;L'!$AN$45</definedName>
    <definedName name="QB_FORMULA_77" localSheetId="1" hidden="1">'2015-Past P&amp;L'!$AO$45,'2015-Past P&amp;L'!$AP$45,'2015-Past P&amp;L'!$AQ$45,'2015-Past P&amp;L'!$AR$45,'2015-Past P&amp;L'!$AS$45,'2015-Past P&amp;L'!$I$46,'2015-Past P&amp;L'!$J$46,'2015-Past P&amp;L'!$K$46,'2015-Past P&amp;L'!$L$46,'2015-Past P&amp;L'!$M$46,'2015-Past P&amp;L'!$N$46,'2015-Past P&amp;L'!$O$46,'2015-Past P&amp;L'!$P$46,'2015-Past P&amp;L'!$Q$46,'2015-Past P&amp;L'!$R$46,'2015-Past P&amp;L'!$S$46</definedName>
    <definedName name="QB_FORMULA_78" localSheetId="1" hidden="1">'2015-Past P&amp;L'!$T$46,'2015-Past P&amp;L'!$U$46,'2015-Past P&amp;L'!$V$46,'2015-Past P&amp;L'!$W$46,'2015-Past P&amp;L'!$X$46,'2015-Past P&amp;L'!$Y$46,'2015-Past P&amp;L'!$Z$46,'2015-Past P&amp;L'!$AA$46,'2015-Past P&amp;L'!$AB$46,'2015-Past P&amp;L'!$AC$46,'2015-Past P&amp;L'!$AD$46,'2015-Past P&amp;L'!$AE$46,'2015-Past P&amp;L'!$AF$46,'2015-Past P&amp;L'!$AG$46,'2015-Past P&amp;L'!$AH$46,'2015-Past P&amp;L'!$AI$46</definedName>
    <definedName name="QB_FORMULA_79" localSheetId="1" hidden="1">'2015-Past P&amp;L'!$AJ$46,'2015-Past P&amp;L'!$AK$46,'2015-Past P&amp;L'!$AL$46,'2015-Past P&amp;L'!$AM$46,'2015-Past P&amp;L'!$AN$46,'2015-Past P&amp;L'!$AO$46,'2015-Past P&amp;L'!$AP$46,'2015-Past P&amp;L'!$AQ$46,'2015-Past P&amp;L'!$AR$46,'2015-Past P&amp;L'!$AS$46,'2015-Past P&amp;L'!$R$47,'2015-Past P&amp;L'!$W$47,'2015-Past P&amp;L'!$Y$47,'2015-Past P&amp;L'!$AE$47,'2015-Past P&amp;L'!$AG$47,'2015-Past P&amp;L'!$AP$47</definedName>
    <definedName name="QB_FORMULA_8" localSheetId="5" hidden="1">'2015-Fundraising costs'!$V$43,'2015-Fundraising costs'!$X$43,'2015-Fundraising costs'!$Z$43,'2015-Fundraising costs'!$AB$43,'2015-Fundraising costs'!$AD$43,'2015-Fundraising costs'!$AF$43,'2015-Fundraising costs'!$AH$43,'2015-Fundraising costs'!$AJ$43,'2015-Fundraising costs'!$AL$43,'2015-Fundraising costs'!$AN$43,'2015-Fundraising costs'!$AP$43,'2015-Fundraising costs'!$AR$43,'2015-Fundraising costs'!$AT$43,'2015-Fundraising costs'!$AV$43,'2015-Fundraising costs'!$AX$43,'2015-Fundraising costs'!$AZ$43</definedName>
    <definedName name="QB_FORMULA_8" localSheetId="2" hidden="1">'2015-Future budget'!$L$37,'2015-Future budget'!$P$37,'2015-Future budget'!$R$37,'2015-Future budget'!$S$37,'2015-Future budget'!$I$38,'2015-Future budget'!$L$38,'2015-Future budget'!$P$38,'2015-Future budget'!$R$38,'2015-Future budget'!$S$38,'2015-Future budget'!$H$39,'2015-Future budget'!$I$39,'2015-Future budget'!$J$39,'2015-Future budget'!$K$39,'2015-Future budget'!$L$39,'2015-Future budget'!$M$39,'2015-Future budget'!$N$39</definedName>
    <definedName name="QB_FORMULA_8" localSheetId="1" hidden="1">'2015-Past P&amp;L'!#REF!,'2015-Past P&amp;L'!#REF!,'2015-Past P&amp;L'!#REF!,'2015-Past P&amp;L'!#REF!,'2015-Past P&amp;L'!#REF!,'2015-Past P&amp;L'!#REF!,'2015-Past P&amp;L'!#REF!,'2015-Past P&amp;L'!#REF!,'2015-Past P&amp;L'!#REF!,'2015-Past P&amp;L'!#REF!,'2015-Past P&amp;L'!#REF!,'2015-Past P&amp;L'!#REF!,'2015-Past P&amp;L'!#REF!,'2015-Past P&amp;L'!#REF!,'2015-Past P&amp;L'!#REF!,'2015-Past P&amp;L'!#REF!</definedName>
    <definedName name="QB_FORMULA_80" localSheetId="1" hidden="1">'2015-Past P&amp;L'!$AS$47,'2015-Past P&amp;L'!$R$48,'2015-Past P&amp;L'!$W$48,'2015-Past P&amp;L'!$Y$48,'2015-Past P&amp;L'!$AE$48,'2015-Past P&amp;L'!$AG$48,'2015-Past P&amp;L'!$AP$48,'2015-Past P&amp;L'!$AS$48,'2015-Past P&amp;L'!$R$49,'2015-Past P&amp;L'!$W$49,'2015-Past P&amp;L'!$Y$49,'2015-Past P&amp;L'!$AE$49,'2015-Past P&amp;L'!$AG$49,'2015-Past P&amp;L'!$AP$49,'2015-Past P&amp;L'!$AS$49,'2015-Past P&amp;L'!$R$50</definedName>
    <definedName name="QB_FORMULA_81" localSheetId="1" hidden="1">'2015-Past P&amp;L'!$W$50,'2015-Past P&amp;L'!$Y$50,'2015-Past P&amp;L'!$AE$50,'2015-Past P&amp;L'!$AG$50,'2015-Past P&amp;L'!$AP$50,'2015-Past P&amp;L'!$AS$50,'2015-Past P&amp;L'!$R$51,'2015-Past P&amp;L'!$W$51,'2015-Past P&amp;L'!$Y$51,'2015-Past P&amp;L'!$AE$51,'2015-Past P&amp;L'!$AG$51,'2015-Past P&amp;L'!$AP$51,'2015-Past P&amp;L'!$AS$51,'2015-Past P&amp;L'!$R$52,'2015-Past P&amp;L'!$W$52,'2015-Past P&amp;L'!$Y$52</definedName>
    <definedName name="QB_FORMULA_82" localSheetId="1" hidden="1">'2015-Past P&amp;L'!$AE$52,'2015-Past P&amp;L'!$AG$52,'2015-Past P&amp;L'!$AP$52,'2015-Past P&amp;L'!$AS$52,'2015-Past P&amp;L'!$I$53,'2015-Past P&amp;L'!$J$53,'2015-Past P&amp;L'!$K$53,'2015-Past P&amp;L'!$L$53,'2015-Past P&amp;L'!$M$53,'2015-Past P&amp;L'!$N$53,'2015-Past P&amp;L'!$O$53,'2015-Past P&amp;L'!$P$53,'2015-Past P&amp;L'!$Q$53,'2015-Past P&amp;L'!$R$53,'2015-Past P&amp;L'!$S$53,'2015-Past P&amp;L'!$T$53</definedName>
    <definedName name="QB_FORMULA_83" localSheetId="1" hidden="1">'2015-Past P&amp;L'!$U$53,'2015-Past P&amp;L'!$V$53,'2015-Past P&amp;L'!$W$53,'2015-Past P&amp;L'!$X$53,'2015-Past P&amp;L'!$Y$53,'2015-Past P&amp;L'!$Z$53,'2015-Past P&amp;L'!$AA$53,'2015-Past P&amp;L'!$AB$53,'2015-Past P&amp;L'!$AC$53,'2015-Past P&amp;L'!$AD$53,'2015-Past P&amp;L'!$AE$53,'2015-Past P&amp;L'!$AF$53,'2015-Past P&amp;L'!$AG$53,'2015-Past P&amp;L'!$AH$53,'2015-Past P&amp;L'!$AI$53,'2015-Past P&amp;L'!$AJ$53</definedName>
    <definedName name="QB_FORMULA_84" localSheetId="1" hidden="1">'2015-Past P&amp;L'!$AK$53,'2015-Past P&amp;L'!$AL$53,'2015-Past P&amp;L'!$AM$53,'2015-Past P&amp;L'!$AN$53,'2015-Past P&amp;L'!$AO$53,'2015-Past P&amp;L'!$AP$53,'2015-Past P&amp;L'!$AQ$53,'2015-Past P&amp;L'!$AR$53,'2015-Past P&amp;L'!$AS$53,'2015-Past P&amp;L'!#REF!,'2015-Past P&amp;L'!#REF!,'2015-Past P&amp;L'!#REF!,'2015-Past P&amp;L'!#REF!,'2015-Past P&amp;L'!#REF!,'2015-Past P&amp;L'!#REF!,'2015-Past P&amp;L'!#REF!</definedName>
    <definedName name="QB_FORMULA_85" localSheetId="1" hidden="1">'2015-Past P&amp;L'!#REF!,'2015-Past P&amp;L'!#REF!,'2015-Past P&amp;L'!#REF!,'2015-Past P&amp;L'!#REF!,'2015-Past P&amp;L'!#REF!,'2015-Past P&amp;L'!#REF!,'2015-Past P&amp;L'!#REF!,'2015-Past P&amp;L'!#REF!,'2015-Past P&amp;L'!#REF!,'2015-Past P&amp;L'!#REF!,'2015-Past P&amp;L'!#REF!,'2015-Past P&amp;L'!#REF!,'2015-Past P&amp;L'!#REF!,'2015-Past P&amp;L'!#REF!,'2015-Past P&amp;L'!#REF!,'2015-Past P&amp;L'!#REF!</definedName>
    <definedName name="QB_FORMULA_86" localSheetId="1" hidden="1">'2015-Past P&amp;L'!#REF!,'2015-Past P&amp;L'!#REF!,'2015-Past P&amp;L'!#REF!,'2015-Past P&amp;L'!#REF!,'2015-Past P&amp;L'!#REF!,'2015-Past P&amp;L'!#REF!,'2015-Past P&amp;L'!#REF!,'2015-Past P&amp;L'!#REF!,'2015-Past P&amp;L'!#REF!,'2015-Past P&amp;L'!#REF!,'2015-Past P&amp;L'!#REF!,'2015-Past P&amp;L'!#REF!,'2015-Past P&amp;L'!#REF!,'2015-Past P&amp;L'!#REF!,'2015-Past P&amp;L'!#REF!,'2015-Past P&amp;L'!#REF!</definedName>
    <definedName name="QB_FORMULA_87" localSheetId="1" hidden="1">'2015-Past P&amp;L'!#REF!,'2015-Past P&amp;L'!#REF!,'2015-Past P&amp;L'!#REF!,'2015-Past P&amp;L'!#REF!,'2015-Past P&amp;L'!#REF!,'2015-Past P&amp;L'!#REF!,'2015-Past P&amp;L'!#REF!,'2015-Past P&amp;L'!#REF!,'2015-Past P&amp;L'!#REF!,'2015-Past P&amp;L'!#REF!,'2015-Past P&amp;L'!#REF!,'2015-Past P&amp;L'!#REF!,'2015-Past P&amp;L'!#REF!,'2015-Past P&amp;L'!#REF!,'2015-Past P&amp;L'!#REF!,'2015-Past P&amp;L'!#REF!</definedName>
    <definedName name="QB_FORMULA_88" localSheetId="1" hidden="1">'2015-Past P&amp;L'!#REF!,'2015-Past P&amp;L'!#REF!,'2015-Past P&amp;L'!#REF!,'2015-Past P&amp;L'!#REF!,'2015-Past P&amp;L'!#REF!,'2015-Past P&amp;L'!#REF!,'2015-Past P&amp;L'!#REF!,'2015-Past P&amp;L'!#REF!,'2015-Past P&amp;L'!#REF!,'2015-Past P&amp;L'!#REF!,'2015-Past P&amp;L'!#REF!,'2015-Past P&amp;L'!#REF!,'2015-Past P&amp;L'!#REF!,'2015-Past P&amp;L'!#REF!,'2015-Past P&amp;L'!#REF!,'2015-Past P&amp;L'!#REF!</definedName>
    <definedName name="QB_FORMULA_89" localSheetId="1" hidden="1">'2015-Past P&amp;L'!#REF!,'2015-Past P&amp;L'!#REF!,'2015-Past P&amp;L'!#REF!,'2015-Past P&amp;L'!#REF!,'2015-Past P&amp;L'!#REF!,'2015-Past P&amp;L'!#REF!,'2015-Past P&amp;L'!#REF!,'2015-Past P&amp;L'!#REF!,'2015-Past P&amp;L'!#REF!,'2015-Past P&amp;L'!#REF!,'2015-Past P&amp;L'!#REF!,'2015-Past P&amp;L'!#REF!,'2015-Past P&amp;L'!#REF!,'2015-Past P&amp;L'!#REF!,'2015-Past P&amp;L'!#REF!,'2015-Past P&amp;L'!#REF!</definedName>
    <definedName name="QB_FORMULA_9" localSheetId="5" hidden="1">'2015-Fundraising costs'!$AZ$44,'2015-Fundraising costs'!$H$45,'2015-Fundraising costs'!$J$45,'2015-Fundraising costs'!$L$45,'2015-Fundraising costs'!$N$45,'2015-Fundraising costs'!$P$45,'2015-Fundraising costs'!$R$45,'2015-Fundraising costs'!$T$45,'2015-Fundraising costs'!$V$45,'2015-Fundraising costs'!$X$45,'2015-Fundraising costs'!$Z$45,'2015-Fundraising costs'!$AB$45,'2015-Fundraising costs'!$AD$45,'2015-Fundraising costs'!$AF$45,'2015-Fundraising costs'!$AH$45,'2015-Fundraising costs'!$AJ$45</definedName>
    <definedName name="QB_FORMULA_9" localSheetId="2" hidden="1">'2015-Future budget'!$O$39,'2015-Future budget'!$P$39,'2015-Future budget'!$Q$39,'2015-Future budget'!$R$39,'2015-Future budget'!$S$39,'2015-Future budget'!$I$42,'2015-Future budget'!$L$42,'2015-Future budget'!$P$42,'2015-Future budget'!$R$42,'2015-Future budget'!$S$42,'2015-Future budget'!$I$43,'2015-Future budget'!$L$43,'2015-Future budget'!$P$43,'2015-Future budget'!$R$43,'2015-Future budget'!$S$43,'2015-Future budget'!$I$44</definedName>
    <definedName name="QB_FORMULA_9" localSheetId="1" hidden="1">'2015-Past P&amp;L'!#REF!,'2015-Past P&amp;L'!#REF!,'2015-Past P&amp;L'!#REF!,'2015-Past P&amp;L'!#REF!,'2015-Past P&amp;L'!#REF!,'2015-Past P&amp;L'!#REF!,'2015-Past P&amp;L'!#REF!,'2015-Past P&amp;L'!#REF!,'2015-Past P&amp;L'!#REF!,'2015-Past P&amp;L'!#REF!,'2015-Past P&amp;L'!#REF!,'2015-Past P&amp;L'!#REF!,'2015-Past P&amp;L'!#REF!,'2015-Past P&amp;L'!#REF!,'2015-Past P&amp;L'!#REF!,'2015-Past P&amp;L'!#REF!</definedName>
    <definedName name="QB_FORMULA_90" localSheetId="1" hidden="1">'2015-Past P&amp;L'!#REF!,'2015-Past P&amp;L'!#REF!,'2015-Past P&amp;L'!#REF!,'2015-Past P&amp;L'!#REF!,'2015-Past P&amp;L'!#REF!,'2015-Past P&amp;L'!#REF!,'2015-Past P&amp;L'!#REF!,'2015-Past P&amp;L'!#REF!,'2015-Past P&amp;L'!$R$55,'2015-Past P&amp;L'!$W$55,'2015-Past P&amp;L'!$Y$55,'2015-Past P&amp;L'!$AE$55,'2015-Past P&amp;L'!$AG$55,'2015-Past P&amp;L'!$AP$55,'2015-Past P&amp;L'!$AS$55,'2015-Past P&amp;L'!$R$56</definedName>
    <definedName name="QB_FORMULA_91" localSheetId="1" hidden="1">'2015-Past P&amp;L'!$W$56,'2015-Past P&amp;L'!$Y$56,'2015-Past P&amp;L'!$AE$56,'2015-Past P&amp;L'!$AG$56,'2015-Past P&amp;L'!$AP$56,'2015-Past P&amp;L'!$AS$56,'2015-Past P&amp;L'!$I$57,'2015-Past P&amp;L'!$J$57,'2015-Past P&amp;L'!$K$57,'2015-Past P&amp;L'!$L$57,'2015-Past P&amp;L'!$M$57,'2015-Past P&amp;L'!$N$57,'2015-Past P&amp;L'!$O$57,'2015-Past P&amp;L'!$P$57,'2015-Past P&amp;L'!$Q$57,'2015-Past P&amp;L'!$R$57</definedName>
    <definedName name="QB_FORMULA_92" localSheetId="1" hidden="1">'2015-Past P&amp;L'!$S$57,'2015-Past P&amp;L'!$T$57,'2015-Past P&amp;L'!$U$57,'2015-Past P&amp;L'!$V$57,'2015-Past P&amp;L'!$W$57,'2015-Past P&amp;L'!$X$57,'2015-Past P&amp;L'!$Y$57,'2015-Past P&amp;L'!$Z$57,'2015-Past P&amp;L'!$AA$57,'2015-Past P&amp;L'!$AB$57,'2015-Past P&amp;L'!$AC$57,'2015-Past P&amp;L'!$AD$57,'2015-Past P&amp;L'!$AE$57,'2015-Past P&amp;L'!$AF$57,'2015-Past P&amp;L'!$AG$57,'2015-Past P&amp;L'!$AH$57</definedName>
    <definedName name="QB_FORMULA_93" localSheetId="1" hidden="1">'2015-Past P&amp;L'!$AI$57,'2015-Past P&amp;L'!$AJ$57,'2015-Past P&amp;L'!$AK$57,'2015-Past P&amp;L'!$AL$57,'2015-Past P&amp;L'!$AM$57,'2015-Past P&amp;L'!$AN$57,'2015-Past P&amp;L'!$AO$57,'2015-Past P&amp;L'!$AP$57,'2015-Past P&amp;L'!$AQ$57,'2015-Past P&amp;L'!$AR$57,'2015-Past P&amp;L'!$AS$57,'2015-Past P&amp;L'!#REF!,'2015-Past P&amp;L'!#REF!,'2015-Past P&amp;L'!#REF!,'2015-Past P&amp;L'!#REF!,'2015-Past P&amp;L'!#REF!</definedName>
    <definedName name="QB_FORMULA_94" localSheetId="1" hidden="1">'2015-Past P&amp;L'!#REF!,'2015-Past P&amp;L'!#REF!,'2015-Past P&amp;L'!#REF!,'2015-Past P&amp;L'!#REF!,'2015-Past P&amp;L'!#REF!,'2015-Past P&amp;L'!#REF!,'2015-Past P&amp;L'!#REF!,'2015-Past P&amp;L'!#REF!,'2015-Past P&amp;L'!#REF!,'2015-Past P&amp;L'!#REF!,'2015-Past P&amp;L'!#REF!,'2015-Past P&amp;L'!#REF!,'2015-Past P&amp;L'!#REF!,'2015-Past P&amp;L'!#REF!,'2015-Past P&amp;L'!#REF!,'2015-Past P&amp;L'!#REF!</definedName>
    <definedName name="QB_FORMULA_95" localSheetId="1" hidden="1">'2015-Past P&amp;L'!#REF!,'2015-Past P&amp;L'!#REF!,'2015-Past P&amp;L'!#REF!,'2015-Past P&amp;L'!#REF!,'2015-Past P&amp;L'!#REF!,'2015-Past P&amp;L'!#REF!,'2015-Past P&amp;L'!#REF!,'2015-Past P&amp;L'!#REF!,'2015-Past P&amp;L'!#REF!,'2015-Past P&amp;L'!#REF!,'2015-Past P&amp;L'!#REF!,'2015-Past P&amp;L'!#REF!,'2015-Past P&amp;L'!#REF!,'2015-Past P&amp;L'!#REF!,'2015-Past P&amp;L'!#REF!,'2015-Past P&amp;L'!#REF!</definedName>
    <definedName name="QB_FORMULA_96" localSheetId="1" hidden="1">'2015-Past P&amp;L'!#REF!,'2015-Past P&amp;L'!#REF!,'2015-Past P&amp;L'!#REF!,'2015-Past P&amp;L'!#REF!,'2015-Past P&amp;L'!#REF!,'2015-Past P&amp;L'!#REF!,'2015-Past P&amp;L'!#REF!,'2015-Past P&amp;L'!#REF!,'2015-Past P&amp;L'!#REF!,'2015-Past P&amp;L'!#REF!,'2015-Past P&amp;L'!#REF!,'2015-Past P&amp;L'!#REF!,'2015-Past P&amp;L'!#REF!,'2015-Past P&amp;L'!#REF!,'2015-Past P&amp;L'!#REF!,'2015-Past P&amp;L'!#REF!</definedName>
    <definedName name="QB_FORMULA_97" localSheetId="1" hidden="1">'2015-Past P&amp;L'!#REF!,'2015-Past P&amp;L'!#REF!,'2015-Past P&amp;L'!#REF!,'2015-Past P&amp;L'!#REF!,'2015-Past P&amp;L'!#REF!,'2015-Past P&amp;L'!#REF!,'2015-Past P&amp;L'!#REF!,'2015-Past P&amp;L'!#REF!,'2015-Past P&amp;L'!#REF!,'2015-Past P&amp;L'!#REF!,'2015-Past P&amp;L'!#REF!,'2015-Past P&amp;L'!#REF!,'2015-Past P&amp;L'!#REF!,'2015-Past P&amp;L'!#REF!,'2015-Past P&amp;L'!#REF!,'2015-Past P&amp;L'!#REF!</definedName>
    <definedName name="QB_FORMULA_98" localSheetId="1" hidden="1">'2015-Past P&amp;L'!#REF!,'2015-Past P&amp;L'!#REF!,'2015-Past P&amp;L'!#REF!,'2015-Past P&amp;L'!#REF!,'2015-Past P&amp;L'!#REF!</definedName>
    <definedName name="QB_ROW_1" localSheetId="4" hidden="1">'2015-Balance Sheet'!$A$2</definedName>
    <definedName name="QB_ROW_1002600" localSheetId="1" hidden="1">'2015-Past P&amp;L'!#REF!</definedName>
    <definedName name="QB_ROW_10031" localSheetId="4" hidden="1">'2015-Balance Sheet'!$D$72</definedName>
    <definedName name="QB_ROW_1010500" localSheetId="1" hidden="1">'2015-Past P&amp;L'!#REF!</definedName>
    <definedName name="QB_ROW_1011" localSheetId="4" hidden="1">'2015-Balance Sheet'!$B$3</definedName>
    <definedName name="QB_ROW_1013500" localSheetId="1" hidden="1">'2015-Past P&amp;L'!#REF!</definedName>
    <definedName name="QB_ROW_1022600" localSheetId="1" hidden="1">'2015-Past P&amp;L'!#REF!</definedName>
    <definedName name="QB_ROW_10331" localSheetId="4" hidden="1">'2015-Balance Sheet'!$D$78</definedName>
    <definedName name="QB_ROW_104240" localSheetId="5" hidden="1">'2015-Fundraising costs'!$E$47</definedName>
    <definedName name="QB_ROW_104240" localSheetId="2" hidden="1">'2015-Future budget'!$E$85</definedName>
    <definedName name="QB_ROW_1042400" localSheetId="1" hidden="1">'2015-Past P&amp;L'!$E$50</definedName>
    <definedName name="QB_ROW_106040" localSheetId="2" hidden="1">'2015-Future budget'!$E$22</definedName>
    <definedName name="QB_ROW_1060400" localSheetId="1" hidden="1">'2015-Past P&amp;L'!#REF!</definedName>
    <definedName name="QB_ROW_106340" localSheetId="2" hidden="1">'2015-Future budget'!$E$30</definedName>
    <definedName name="QB_ROW_1063400" localSheetId="1" hidden="1">'2015-Past P&amp;L'!#REF!</definedName>
    <definedName name="QB_ROW_107250" localSheetId="2" hidden="1">'2015-Future budget'!$F$26</definedName>
    <definedName name="QB_ROW_1072500" localSheetId="1" hidden="1">'2015-Past P&amp;L'!#REF!</definedName>
    <definedName name="QB_ROW_109250" localSheetId="2" hidden="1">'2015-Future budget'!$F$24</definedName>
    <definedName name="QB_ROW_1092500" localSheetId="1" hidden="1">'2015-Past P&amp;L'!#REF!</definedName>
    <definedName name="QB_ROW_110250" localSheetId="2" hidden="1">'2015-Future budget'!$F$25</definedName>
    <definedName name="QB_ROW_1102500" localSheetId="1" hidden="1">'2015-Past P&amp;L'!#REF!</definedName>
    <definedName name="QB_ROW_11031" localSheetId="4" hidden="1">'2015-Balance Sheet'!$D$79</definedName>
    <definedName name="QB_ROW_111250" localSheetId="2" hidden="1">'2015-Future budget'!$F$29</definedName>
    <definedName name="QB_ROW_1112500" localSheetId="1" hidden="1">'2015-Past P&amp;L'!#REF!</definedName>
    <definedName name="QB_ROW_112250" localSheetId="2" hidden="1">'2015-Future budget'!$F$28</definedName>
    <definedName name="QB_ROW_1122500" localSheetId="1" hidden="1">'2015-Past P&amp;L'!#REF!</definedName>
    <definedName name="QB_ROW_113040" localSheetId="2" hidden="1">'2015-Future budget'!$E$15</definedName>
    <definedName name="QB_ROW_1130400" localSheetId="1" hidden="1">'2015-Past P&amp;L'!#REF!</definedName>
    <definedName name="QB_ROW_11331" localSheetId="4" hidden="1">'2015-Balance Sheet'!$D$81</definedName>
    <definedName name="QB_ROW_113340" localSheetId="2" hidden="1">'2015-Future budget'!$E$21</definedName>
    <definedName name="QB_ROW_1133400" localSheetId="1" hidden="1">'2015-Past P&amp;L'!#REF!</definedName>
    <definedName name="QB_ROW_115250" localSheetId="2" hidden="1">'2015-Future budget'!$F$16</definedName>
    <definedName name="QB_ROW_1152500" localSheetId="1" hidden="1">'2015-Past P&amp;L'!#REF!</definedName>
    <definedName name="QB_ROW_116250" localSheetId="3" hidden="1">'2015-Commitments by month'!$F$2</definedName>
    <definedName name="QB_ROW_116250" localSheetId="2" hidden="1">'2015-Future budget'!$F$10</definedName>
    <definedName name="QB_ROW_1162500" localSheetId="1" hidden="1">'2015-Past P&amp;L'!#REF!</definedName>
    <definedName name="QB_ROW_118250" localSheetId="2" hidden="1">'2015-Future budget'!$F$13</definedName>
    <definedName name="QB_ROW_1182500" localSheetId="1" hidden="1">'2015-Past P&amp;L'!#REF!</definedName>
    <definedName name="QB_ROW_119040" localSheetId="2" hidden="1">'2015-Future budget'!$E$31</definedName>
    <definedName name="QB_ROW_1190400" localSheetId="1" hidden="1">'2015-Past P&amp;L'!#REF!</definedName>
    <definedName name="QB_ROW_119340" localSheetId="2" hidden="1">'2015-Future budget'!$E$39</definedName>
    <definedName name="QB_ROW_1193400" localSheetId="1" hidden="1">'2015-Past P&amp;L'!#REF!</definedName>
    <definedName name="QB_ROW_120040" localSheetId="5" hidden="1">'2015-Fundraising costs'!$E$5</definedName>
    <definedName name="QB_ROW_120040" localSheetId="2" hidden="1">'2015-Future budget'!$E$40</definedName>
    <definedName name="QB_ROW_1200400" localSheetId="1" hidden="1">'2015-Past P&amp;L'!#REF!</definedName>
    <definedName name="QB_ROW_12031" localSheetId="4" hidden="1">'2015-Balance Sheet'!$D$82</definedName>
    <definedName name="QB_ROW_120340" localSheetId="5" hidden="1">'2015-Fundraising costs'!$E$45</definedName>
    <definedName name="QB_ROW_120340" localSheetId="2" hidden="1">'2015-Future budget'!$E$84</definedName>
    <definedName name="QB_ROW_1203400" localSheetId="1" hidden="1">'2015-Past P&amp;L'!$E$39</definedName>
    <definedName name="QB_ROW_121050" localSheetId="5" hidden="1">'2015-Fundraising costs'!$F$30</definedName>
    <definedName name="QB_ROW_121050" localSheetId="2" hidden="1">'2015-Future budget'!$F$67</definedName>
    <definedName name="QB_ROW_1210500" localSheetId="1" hidden="1">'2015-Past P&amp;L'!$F$23</definedName>
    <definedName name="QB_ROW_121350" localSheetId="5" hidden="1">'2015-Fundraising costs'!$F$43</definedName>
    <definedName name="QB_ROW_121350" localSheetId="2" hidden="1">'2015-Future budget'!$F$82</definedName>
    <definedName name="QB_ROW_1213500" localSheetId="1" hidden="1">'2015-Past P&amp;L'!$F$37</definedName>
    <definedName name="QB_ROW_122260" localSheetId="5" hidden="1">'2015-Fundraising costs'!$G$36</definedName>
    <definedName name="QB_ROW_122260" localSheetId="2" hidden="1">'2015-Future budget'!$G$73</definedName>
    <definedName name="QB_ROW_1222600" localSheetId="1" hidden="1">'2015-Past P&amp;L'!$G$30</definedName>
    <definedName name="QB_ROW_12331" localSheetId="4" hidden="1">'2015-Balance Sheet'!$D$87</definedName>
    <definedName name="QB_ROW_125260" localSheetId="5" hidden="1">'2015-Fundraising costs'!$G$32</definedName>
    <definedName name="QB_ROW_125260" localSheetId="2" hidden="1">'2015-Future budget'!$G$69</definedName>
    <definedName name="QB_ROW_1252600" localSheetId="1" hidden="1">'2015-Past P&amp;L'!$G$25</definedName>
    <definedName name="QB_ROW_126260" localSheetId="5" hidden="1">'2015-Fundraising costs'!$G$38</definedName>
    <definedName name="QB_ROW_126260" localSheetId="2" hidden="1">'2015-Future budget'!$G$76</definedName>
    <definedName name="QB_ROW_1262600" localSheetId="1" hidden="1">'2015-Past P&amp;L'!$G$32</definedName>
    <definedName name="QB_ROW_127260" localSheetId="5" hidden="1">'2015-Fundraising costs'!$G$31</definedName>
    <definedName name="QB_ROW_127260" localSheetId="2" hidden="1">'2015-Future budget'!$G$68</definedName>
    <definedName name="QB_ROW_1272600" localSheetId="1" hidden="1">'2015-Past P&amp;L'!$G$24</definedName>
    <definedName name="QB_ROW_128260" localSheetId="5" hidden="1">'2015-Fundraising costs'!$G$42</definedName>
    <definedName name="QB_ROW_128260" localSheetId="2" hidden="1">'2015-Future budget'!$G$81</definedName>
    <definedName name="QB_ROW_1282600" localSheetId="1" hidden="1">'2015-Past P&amp;L'!$G$36</definedName>
    <definedName name="QB_ROW_129260" localSheetId="5" hidden="1">'2015-Fundraising costs'!$G$39</definedName>
    <definedName name="QB_ROW_129260" localSheetId="2" hidden="1">'2015-Future budget'!$G$77</definedName>
    <definedName name="QB_ROW_1292600" localSheetId="1" hidden="1">'2015-Past P&amp;L'!$G$33</definedName>
    <definedName name="QB_ROW_130260" localSheetId="5" hidden="1">'2015-Fundraising costs'!$G$33</definedName>
    <definedName name="QB_ROW_130260" localSheetId="2" hidden="1">'2015-Future budget'!$G$70</definedName>
    <definedName name="QB_ROW_1302600" localSheetId="1" hidden="1">'2015-Past P&amp;L'!$G$27</definedName>
    <definedName name="QB_ROW_1311" localSheetId="4" hidden="1">'2015-Balance Sheet'!$B$47</definedName>
    <definedName name="QB_ROW_131260" localSheetId="5" hidden="1">'2015-Fundraising costs'!$G$35</definedName>
    <definedName name="QB_ROW_131260" localSheetId="2" hidden="1">'2015-Future budget'!$G$72</definedName>
    <definedName name="QB_ROW_1312600" localSheetId="1" hidden="1">'2015-Past P&amp;L'!$G$29</definedName>
    <definedName name="QB_ROW_132260" localSheetId="5" hidden="1">'2015-Fundraising costs'!$G$34</definedName>
    <definedName name="QB_ROW_132260" localSheetId="2" hidden="1">'2015-Future budget'!$G$71</definedName>
    <definedName name="QB_ROW_1322600" localSheetId="1" hidden="1">'2015-Past P&amp;L'!$G$28</definedName>
    <definedName name="QB_ROW_133050" localSheetId="5" hidden="1">'2015-Fundraising costs'!$F$12</definedName>
    <definedName name="QB_ROW_133050" localSheetId="2" hidden="1">'2015-Future budget'!$F$48</definedName>
    <definedName name="QB_ROW_1330500" localSheetId="1" hidden="1">'2015-Past P&amp;L'!#REF!</definedName>
    <definedName name="QB_ROW_133350" localSheetId="5" hidden="1">'2015-Fundraising costs'!$F$19</definedName>
    <definedName name="QB_ROW_133350" localSheetId="2" hidden="1">'2015-Future budget'!$F$55</definedName>
    <definedName name="QB_ROW_1333500" localSheetId="1" hidden="1">'2015-Past P&amp;L'!$F$10</definedName>
    <definedName name="QB_ROW_134260" localSheetId="5" hidden="1">'2015-Fundraising costs'!$G$17</definedName>
    <definedName name="QB_ROW_134260" localSheetId="2" hidden="1">'2015-Future budget'!$G$53</definedName>
    <definedName name="QB_ROW_1342600" localSheetId="1" hidden="1">'2015-Past P&amp;L'!$G$8</definedName>
    <definedName name="QB_ROW_135260" localSheetId="5" hidden="1">'2015-Fundraising costs'!$G$14</definedName>
    <definedName name="QB_ROW_135260" localSheetId="2" hidden="1">'2015-Future budget'!$G$50</definedName>
    <definedName name="QB_ROW_1352600" localSheetId="1" hidden="1">'2015-Past P&amp;L'!#REF!</definedName>
    <definedName name="QB_ROW_136260" localSheetId="5" hidden="1">'2015-Fundraising costs'!$G$18</definedName>
    <definedName name="QB_ROW_136260" localSheetId="2" hidden="1">'2015-Future budget'!$G$54</definedName>
    <definedName name="QB_ROW_1362600" localSheetId="1" hidden="1">'2015-Past P&amp;L'!$G$9</definedName>
    <definedName name="QB_ROW_137260" localSheetId="5" hidden="1">'2015-Fundraising costs'!$G$15</definedName>
    <definedName name="QB_ROW_137260" localSheetId="2" hidden="1">'2015-Future budget'!$G$51</definedName>
    <definedName name="QB_ROW_1372600" localSheetId="1" hidden="1">'2015-Past P&amp;L'!$G$7</definedName>
    <definedName name="QB_ROW_138260" localSheetId="5" hidden="1">'2015-Fundraising costs'!$G$16</definedName>
    <definedName name="QB_ROW_138260" localSheetId="2" hidden="1">'2015-Future budget'!$G$52</definedName>
    <definedName name="QB_ROW_1382600" localSheetId="1" hidden="1">'2015-Past P&amp;L'!#REF!</definedName>
    <definedName name="QB_ROW_139050" localSheetId="5" hidden="1">'2015-Fundraising costs'!$F$6</definedName>
    <definedName name="QB_ROW_139050" localSheetId="2" hidden="1">'2015-Future budget'!$F$41</definedName>
    <definedName name="QB_ROW_1390500" localSheetId="1" hidden="1">'2015-Past P&amp;L'!#REF!</definedName>
    <definedName name="QB_ROW_139350" localSheetId="5" hidden="1">'2015-Fundraising costs'!$F$11</definedName>
    <definedName name="QB_ROW_139350" localSheetId="2" hidden="1">'2015-Future budget'!$F$46</definedName>
    <definedName name="QB_ROW_1393500" localSheetId="1" hidden="1">'2015-Past P&amp;L'!#REF!</definedName>
    <definedName name="QB_ROW_14011" localSheetId="4" hidden="1">'2015-Balance Sheet'!$B$90</definedName>
    <definedName name="QB_ROW_140260" localSheetId="5" hidden="1">'2015-Fundraising costs'!$G$7</definedName>
    <definedName name="QB_ROW_140260" localSheetId="2" hidden="1">'2015-Future budget'!$G$42</definedName>
    <definedName name="QB_ROW_1402600" localSheetId="1" hidden="1">'2015-Past P&amp;L'!#REF!</definedName>
    <definedName name="QB_ROW_141260" localSheetId="5" hidden="1">'2015-Fundraising costs'!$G$8</definedName>
    <definedName name="QB_ROW_141260" localSheetId="2" hidden="1">'2015-Future budget'!$G$43</definedName>
    <definedName name="QB_ROW_1412600" localSheetId="1" hidden="1">'2015-Past P&amp;L'!#REF!</definedName>
    <definedName name="QB_ROW_142260" localSheetId="5" hidden="1">'2015-Fundraising costs'!$G$10</definedName>
    <definedName name="QB_ROW_142260" localSheetId="2" hidden="1">'2015-Future budget'!$G$45</definedName>
    <definedName name="QB_ROW_1422600" localSheetId="1" hidden="1">'2015-Past P&amp;L'!#REF!</definedName>
    <definedName name="QB_ROW_143050" localSheetId="5" hidden="1">'2015-Fundraising costs'!$F$25</definedName>
    <definedName name="QB_ROW_143050" localSheetId="2" hidden="1">'2015-Future budget'!$F$61</definedName>
    <definedName name="QB_ROW_1430500" localSheetId="1" hidden="1">'2015-Past P&amp;L'!$F$16</definedName>
    <definedName name="QB_ROW_14311" localSheetId="4" hidden="1">'2015-Balance Sheet'!$B$121</definedName>
    <definedName name="QB_ROW_1432600" localSheetId="1" hidden="1">'2015-Past P&amp;L'!$G$21</definedName>
    <definedName name="QB_ROW_143350" localSheetId="5" hidden="1">'2015-Fundraising costs'!$F$29</definedName>
    <definedName name="QB_ROW_143350" localSheetId="2" hidden="1">'2015-Future budget'!$F$66</definedName>
    <definedName name="QB_ROW_1433500" localSheetId="1" hidden="1">'2015-Past P&amp;L'!$F$22</definedName>
    <definedName name="QB_ROW_144260" localSheetId="5" hidden="1">'2015-Fundraising costs'!$G$27</definedName>
    <definedName name="QB_ROW_144260" localSheetId="2" hidden="1">'2015-Future budget'!$G$64</definedName>
    <definedName name="QB_ROW_1442600" localSheetId="1" hidden="1">'2015-Past P&amp;L'!$G$19</definedName>
    <definedName name="QB_ROW_145260" localSheetId="5" hidden="1">'2015-Fundraising costs'!$G$26</definedName>
    <definedName name="QB_ROW_145260" localSheetId="2" hidden="1">'2015-Future budget'!$G$62</definedName>
    <definedName name="QB_ROW_1452600" localSheetId="1" hidden="1">'2015-Past P&amp;L'!$G$17</definedName>
    <definedName name="QB_ROW_146260" localSheetId="5" hidden="1">'2015-Fundraising costs'!$G$28</definedName>
    <definedName name="QB_ROW_146260" localSheetId="2" hidden="1">'2015-Future budget'!$G$65</definedName>
    <definedName name="QB_ROW_1462600" localSheetId="1" hidden="1">'2015-Past P&amp;L'!$G$20</definedName>
    <definedName name="QB_ROW_147050" localSheetId="5" hidden="1">'2015-Fundraising costs'!$F$20</definedName>
    <definedName name="QB_ROW_147050" localSheetId="2" hidden="1">'2015-Future budget'!$F$56</definedName>
    <definedName name="QB_ROW_1470500" localSheetId="1" hidden="1">'2015-Past P&amp;L'!$F$11</definedName>
    <definedName name="QB_ROW_147350" localSheetId="5" hidden="1">'2015-Fundraising costs'!$F$24</definedName>
    <definedName name="QB_ROW_147350" localSheetId="2" hidden="1">'2015-Future budget'!$F$60</definedName>
    <definedName name="QB_ROW_1473500" localSheetId="1" hidden="1">'2015-Past P&amp;L'!$F$15</definedName>
    <definedName name="QB_ROW_148260" localSheetId="5" hidden="1">'2015-Fundraising costs'!$G$21</definedName>
    <definedName name="QB_ROW_148260" localSheetId="2" hidden="1">'2015-Future budget'!$G$57</definedName>
    <definedName name="QB_ROW_1482600" localSheetId="1" hidden="1">'2015-Past P&amp;L'!$G$12</definedName>
    <definedName name="QB_ROW_149260" localSheetId="5" hidden="1">'2015-Fundraising costs'!$G$22</definedName>
    <definedName name="QB_ROW_149260" localSheetId="2" hidden="1">'2015-Future budget'!$G$58</definedName>
    <definedName name="QB_ROW_1492600" localSheetId="1" hidden="1">'2015-Past P&amp;L'!$G$13</definedName>
    <definedName name="QB_ROW_150260" localSheetId="5" hidden="1">'2015-Fundraising costs'!$G$23</definedName>
    <definedName name="QB_ROW_150260" localSheetId="2" hidden="1">'2015-Future budget'!$G$59</definedName>
    <definedName name="QB_ROW_1502600" localSheetId="1" hidden="1">'2015-Past P&amp;L'!$G$14</definedName>
    <definedName name="QB_ROW_151250" localSheetId="5" hidden="1">'2015-Fundraising costs'!$F$44</definedName>
    <definedName name="QB_ROW_151250" localSheetId="2" hidden="1">'2015-Future budget'!$F$83</definedName>
    <definedName name="QB_ROW_1512500" localSheetId="1" hidden="1">'2015-Past P&amp;L'!$F$38</definedName>
    <definedName name="QB_ROW_153250" localSheetId="2" hidden="1">'2015-Future budget'!$F$35</definedName>
    <definedName name="QB_ROW_155250" localSheetId="2" hidden="1">'2015-Future budget'!$F$33</definedName>
    <definedName name="QB_ROW_1552500" localSheetId="1" hidden="1">'2015-Past P&amp;L'!#REF!</definedName>
    <definedName name="QB_ROW_156250" localSheetId="2" hidden="1">'2015-Future budget'!$F$34</definedName>
    <definedName name="QB_ROW_1562500" localSheetId="1" hidden="1">'2015-Past P&amp;L'!#REF!</definedName>
    <definedName name="QB_ROW_157250" localSheetId="2" hidden="1">'2015-Future budget'!$F$38</definedName>
    <definedName name="QB_ROW_1572500" localSheetId="1" hidden="1">'2015-Past P&amp;L'!#REF!</definedName>
    <definedName name="QB_ROW_158250" localSheetId="2" hidden="1">'2015-Future budget'!$F$37</definedName>
    <definedName name="QB_ROW_1582500" localSheetId="1" hidden="1">'2015-Past P&amp;L'!#REF!</definedName>
    <definedName name="QB_ROW_162230" localSheetId="4" hidden="1">'2015-Balance Sheet'!$D$41</definedName>
    <definedName name="QB_ROW_165030" localSheetId="4" hidden="1">'2015-Balance Sheet'!$D$92</definedName>
    <definedName name="QB_ROW_165330" localSheetId="4" hidden="1">'2015-Balance Sheet'!$D$96</definedName>
    <definedName name="QB_ROW_17221" localSheetId="4" hidden="1">'2015-Balance Sheet'!#REF!</definedName>
    <definedName name="QB_ROW_181230" localSheetId="4" hidden="1">'2015-Balance Sheet'!$D$119</definedName>
    <definedName name="QB_ROW_182030" localSheetId="4" hidden="1">'2015-Balance Sheet'!$D$102</definedName>
    <definedName name="QB_ROW_182330" localSheetId="4" hidden="1">'2015-Balance Sheet'!$D$118</definedName>
    <definedName name="QB_ROW_18301" localSheetId="3" hidden="1">'2015-Commitments by month'!#REF!</definedName>
    <definedName name="QB_ROW_18301" localSheetId="5" hidden="1">'2015-Fundraising costs'!#REF!</definedName>
    <definedName name="QB_ROW_18301" localSheetId="2" hidden="1">'2015-Future budget'!$A$92</definedName>
    <definedName name="QB_ROW_183010" localSheetId="1" hidden="1">'2015-Past P&amp;L'!#REF!</definedName>
    <definedName name="QB_ROW_184040" localSheetId="4" hidden="1">'2015-Balance Sheet'!$E$103</definedName>
    <definedName name="QB_ROW_184340" localSheetId="4" hidden="1">'2015-Balance Sheet'!$E$107</definedName>
    <definedName name="QB_ROW_186250" localSheetId="4" hidden="1">'2015-Balance Sheet'!$F$104</definedName>
    <definedName name="QB_ROW_19011" localSheetId="3" hidden="1">'2015-Commitments by month'!#REF!</definedName>
    <definedName name="QB_ROW_19011" localSheetId="5" hidden="1">'2015-Fundraising costs'!$B$2</definedName>
    <definedName name="QB_ROW_19011" localSheetId="2" hidden="1">'2015-Future budget'!$B$7</definedName>
    <definedName name="QB_ROW_190110" localSheetId="1" hidden="1">'2015-Past P&amp;L'!#REF!</definedName>
    <definedName name="QB_ROW_191030" localSheetId="4" hidden="1">'2015-Balance Sheet'!$D$97</definedName>
    <definedName name="QB_ROW_191330" localSheetId="4" hidden="1">'2015-Balance Sheet'!$D$99</definedName>
    <definedName name="QB_ROW_19311" localSheetId="3" hidden="1">'2015-Commitments by month'!#REF!</definedName>
    <definedName name="QB_ROW_19311" localSheetId="5" hidden="1">'2015-Fundraising costs'!#REF!</definedName>
    <definedName name="QB_ROW_19311" localSheetId="2" hidden="1">'2015-Future budget'!#REF!</definedName>
    <definedName name="QB_ROW_193110" localSheetId="1" hidden="1">'2015-Past P&amp;L'!#REF!</definedName>
    <definedName name="QB_ROW_193240" localSheetId="4" hidden="1">'2015-Balance Sheet'!$E$98</definedName>
    <definedName name="QB_ROW_196240" localSheetId="4" hidden="1">'2015-Balance Sheet'!$E$95</definedName>
    <definedName name="QB_ROW_2000500" localSheetId="1" hidden="1">'2015-Past P&amp;L'!#REF!</definedName>
    <definedName name="QB_ROW_2002600" localSheetId="1" hidden="1">'2015-Past P&amp;L'!#REF!</definedName>
    <definedName name="QB_ROW_200310" localSheetId="1" hidden="1">'2015-Past P&amp;L'!#REF!</definedName>
    <definedName name="QB_ROW_2003500" localSheetId="1" hidden="1">'2015-Past P&amp;L'!#REF!</definedName>
    <definedName name="QB_ROW_2010500" localSheetId="1" hidden="1">'2015-Past P&amp;L'!#REF!</definedName>
    <definedName name="QB_ROW_2013500" localSheetId="1" hidden="1">'2015-Past P&amp;L'!#REF!</definedName>
    <definedName name="QB_ROW_2021" localSheetId="4" hidden="1">'2015-Balance Sheet'!$C$4</definedName>
    <definedName name="QB_ROW_2032600" localSheetId="1" hidden="1">'2015-Past P&amp;L'!#REF!</definedName>
    <definedName name="QB_ROW_203310" localSheetId="1" hidden="1">'2015-Past P&amp;L'!#REF!</definedName>
    <definedName name="QB_ROW_204260" localSheetId="5" hidden="1">'2015-Fundraising costs'!$G$9</definedName>
    <definedName name="QB_ROW_204260" localSheetId="2" hidden="1">'2015-Future budget'!$G$44</definedName>
    <definedName name="QB_ROW_2042600" localSheetId="1" hidden="1">'2015-Past P&amp;L'!#REF!</definedName>
    <definedName name="QB_ROW_2050400" localSheetId="1" hidden="1">'2015-Past P&amp;L'!$E$40</definedName>
    <definedName name="QB_ROW_205340" localSheetId="5" hidden="1">'2015-Fundraising costs'!$E$46</definedName>
    <definedName name="QB_ROW_2053400" localSheetId="1" hidden="1">'2015-Past P&amp;L'!$E$46</definedName>
    <definedName name="QB_ROW_2060500" localSheetId="1" hidden="1">'2015-Past P&amp;L'!$F$41</definedName>
    <definedName name="QB_ROW_2063500" localSheetId="1" hidden="1">'2015-Past P&amp;L'!$F$45</definedName>
    <definedName name="QB_ROW_2072600" localSheetId="1" hidden="1">'2015-Past P&amp;L'!$G$44</definedName>
    <definedName name="QB_ROW_2082600" localSheetId="1" hidden="1">'2015-Past P&amp;L'!$G$43</definedName>
    <definedName name="QB_ROW_2092600" localSheetId="1" hidden="1">'2015-Past P&amp;L'!$G$42</definedName>
    <definedName name="QB_ROW_210240" localSheetId="5" hidden="1">'2015-Fundraising costs'!$E$49</definedName>
    <definedName name="QB_ROW_2102400" localSheetId="1" hidden="1">'2015-Past P&amp;L'!$E$52</definedName>
    <definedName name="QB_ROW_21031" localSheetId="3" hidden="1">'2015-Commitments by month'!#REF!</definedName>
    <definedName name="QB_ROW_21031" localSheetId="5" hidden="1">'2015-Fundraising costs'!$D$3</definedName>
    <definedName name="QB_ROW_21031" localSheetId="2" hidden="1">'2015-Future budget'!$D$8</definedName>
    <definedName name="QB_ROW_210310" localSheetId="1" hidden="1">'2015-Past P&amp;L'!$D$6</definedName>
    <definedName name="QB_ROW_211230" localSheetId="4" hidden="1">'2015-Balance Sheet'!$D$29</definedName>
    <definedName name="QB_ROW_212230" localSheetId="4" hidden="1">'2015-Balance Sheet'!$D$6</definedName>
    <definedName name="QB_ROW_21331" localSheetId="3" hidden="1">'2015-Commitments by month'!#REF!</definedName>
    <definedName name="QB_ROW_21331" localSheetId="5" hidden="1">'2015-Fundraising costs'!$D$50</definedName>
    <definedName name="QB_ROW_21331" localSheetId="2" hidden="1">'2015-Future budget'!$D$86</definedName>
    <definedName name="QB_ROW_213310" localSheetId="1" hidden="1">'2015-Past P&amp;L'!$D$53</definedName>
    <definedName name="QB_ROW_218240" localSheetId="4" hidden="1">'2015-Balance Sheet'!$E$74</definedName>
    <definedName name="QB_ROW_22011" localSheetId="2" hidden="1">'2015-Future budget'!$B$87</definedName>
    <definedName name="QB_ROW_220110" localSheetId="1" hidden="1">'2015-Past P&amp;L'!#REF!</definedName>
    <definedName name="QB_ROW_220230" localSheetId="4" hidden="1">'2015-Balance Sheet'!$D$17</definedName>
    <definedName name="QB_ROW_22311" localSheetId="2" hidden="1">'2015-Future budget'!$B$91</definedName>
    <definedName name="QB_ROW_223110" localSheetId="1" hidden="1">'2015-Past P&amp;L'!#REF!</definedName>
    <definedName name="QB_ROW_229230" localSheetId="2" hidden="1">'2015-Future budget'!$D$89</definedName>
    <definedName name="QB_ROW_2292300" localSheetId="1" hidden="1">'2015-Past P&amp;L'!$D$55</definedName>
    <definedName name="QB_ROW_230210" localSheetId="1" hidden="1">'2015-Past P&amp;L'!#REF!</definedName>
    <definedName name="QB_ROW_231230" localSheetId="4" hidden="1">'2015-Balance Sheet'!$D$24</definedName>
    <definedName name="QB_ROW_2321" localSheetId="4" hidden="1">'2015-Balance Sheet'!$C$27</definedName>
    <definedName name="QB_ROW_232230" localSheetId="4" hidden="1">'2015-Balance Sheet'!$D$19</definedName>
    <definedName name="QB_ROW_233210" localSheetId="1" hidden="1">'2015-Past P&amp;L'!#REF!</definedName>
    <definedName name="QB_ROW_24021" localSheetId="2" hidden="1">'2015-Future budget'!$C$88</definedName>
    <definedName name="QB_ROW_240210" localSheetId="1" hidden="1">'2015-Past P&amp;L'!$C$54</definedName>
    <definedName name="QB_ROW_24321" localSheetId="2" hidden="1">'2015-Future budget'!$C$90</definedName>
    <definedName name="QB_ROW_243210" localSheetId="1" hidden="1">'2015-Past P&amp;L'!$C$57</definedName>
    <definedName name="QB_ROW_2492400" localSheetId="1" hidden="1">'2015-Past P&amp;L'!#REF!</definedName>
    <definedName name="QB_ROW_2502300" localSheetId="1" hidden="1">'2015-Past P&amp;L'!#REF!</definedName>
    <definedName name="QB_ROW_251250" localSheetId="3" hidden="1">'2015-Commitments by month'!$F$3</definedName>
    <definedName name="QB_ROW_251250" localSheetId="2" hidden="1">'2015-Future budget'!$F$11</definedName>
    <definedName name="QB_ROW_2512500" localSheetId="1" hidden="1">'2015-Past P&amp;L'!#REF!</definedName>
    <definedName name="QB_ROW_252250" localSheetId="2" hidden="1">'2015-Future budget'!$F$12</definedName>
    <definedName name="QB_ROW_2522500" localSheetId="1" hidden="1">'2015-Past P&amp;L'!#REF!</definedName>
    <definedName name="QB_ROW_253240" localSheetId="5" hidden="1">'2015-Fundraising costs'!$E$48</definedName>
    <definedName name="QB_ROW_2532400" localSheetId="1" hidden="1">'2015-Past P&amp;L'!$E$51</definedName>
    <definedName name="QB_ROW_260250" localSheetId="2" hidden="1">'2015-Future budget'!$F$18</definedName>
    <definedName name="QB_ROW_2602500" localSheetId="1" hidden="1">'2015-Past P&amp;L'!#REF!</definedName>
    <definedName name="QB_ROW_261250" localSheetId="2" hidden="1">'2015-Future budget'!$F$19</definedName>
    <definedName name="QB_ROW_2612500" localSheetId="1" hidden="1">'2015-Past P&amp;L'!#REF!</definedName>
    <definedName name="QB_ROW_263230" localSheetId="4" hidden="1">'2015-Balance Sheet'!$D$12</definedName>
    <definedName name="QB_ROW_2642300" localSheetId="1" hidden="1">'2015-Past P&amp;L'!$D$56</definedName>
    <definedName name="QB_ROW_265230" localSheetId="4" hidden="1">'2015-Balance Sheet'!$D$13</definedName>
    <definedName name="QB_ROW_266230" localSheetId="4" hidden="1">'2015-Balance Sheet'!$D$20</definedName>
    <definedName name="QB_ROW_267230" localSheetId="4" hidden="1">'2015-Balance Sheet'!$D$9</definedName>
    <definedName name="QB_ROW_301" localSheetId="4" hidden="1">'2015-Balance Sheet'!$A$68</definedName>
    <definedName name="QB_ROW_305030" localSheetId="4" hidden="1">'2015-Balance Sheet'!$D$42</definedName>
    <definedName name="QB_ROW_305330" localSheetId="4" hidden="1">'2015-Balance Sheet'!$D$45</definedName>
    <definedName name="QB_ROW_306240" localSheetId="4" hidden="1">'2015-Balance Sheet'!$E$86</definedName>
    <definedName name="QB_ROW_3072500" localSheetId="1" hidden="1">'2015-Past P&amp;L'!#REF!</definedName>
    <definedName name="QB_ROW_308260" localSheetId="2" hidden="1">'2015-Future budget'!$G$63</definedName>
    <definedName name="QB_ROW_3082600" localSheetId="1" hidden="1">'2015-Past P&amp;L'!$G$18</definedName>
    <definedName name="QB_ROW_309260" localSheetId="5" hidden="1">'2015-Fundraising costs'!$G$41</definedName>
    <definedName name="QB_ROW_309260" localSheetId="2" hidden="1">'2015-Future budget'!$G$79</definedName>
    <definedName name="QB_ROW_3092600" localSheetId="1" hidden="1">'2015-Past P&amp;L'!$G$35</definedName>
    <definedName name="QB_ROW_310250" localSheetId="4" hidden="1">'2015-Balance Sheet'!$F$105</definedName>
    <definedName name="QB_ROW_3110500" localSheetId="1" hidden="1">'2015-Past P&amp;L'!#REF!</definedName>
    <definedName name="QB_ROW_3113500" localSheetId="1" hidden="1">'2015-Past P&amp;L'!#REF!</definedName>
    <definedName name="QB_ROW_3122600" localSheetId="1" hidden="1">'2015-Past P&amp;L'!#REF!</definedName>
    <definedName name="QB_ROW_3132600" localSheetId="1" hidden="1">'2015-Past P&amp;L'!#REF!</definedName>
    <definedName name="QB_ROW_315230" localSheetId="4" hidden="1">'2015-Balance Sheet'!$D$10</definedName>
    <definedName name="QB_ROW_316260" localSheetId="5" hidden="1">'2015-Fundraising costs'!$G$37</definedName>
    <definedName name="QB_ROW_316260" localSheetId="2" hidden="1">'2015-Future budget'!$G$74</definedName>
    <definedName name="QB_ROW_3162600" localSheetId="1" hidden="1">'2015-Past P&amp;L'!$G$31</definedName>
    <definedName name="QB_ROW_317260" localSheetId="5" hidden="1">'2015-Fundraising costs'!$G$40</definedName>
    <definedName name="QB_ROW_317260" localSheetId="2" hidden="1">'2015-Future budget'!$G$78</definedName>
    <definedName name="QB_ROW_3172600" localSheetId="1" hidden="1">'2015-Past P&amp;L'!$G$34</definedName>
    <definedName name="QB_ROW_323040" localSheetId="3" hidden="1">'2015-Commitments by month'!#REF!</definedName>
    <definedName name="QB_ROW_323040" localSheetId="2" hidden="1">'2015-Future budget'!$E$9</definedName>
    <definedName name="QB_ROW_3230400" localSheetId="1" hidden="1">'2015-Past P&amp;L'!#REF!</definedName>
    <definedName name="QB_ROW_323340" localSheetId="3" hidden="1">'2015-Commitments by month'!#REF!</definedName>
    <definedName name="QB_ROW_323340" localSheetId="2" hidden="1">'2015-Future budget'!$E$14</definedName>
    <definedName name="QB_ROW_3233400" localSheetId="1" hidden="1">'2015-Past P&amp;L'!#REF!</definedName>
    <definedName name="QB_ROW_3242700" localSheetId="1" hidden="1">'2015-Past P&amp;L'!#REF!</definedName>
    <definedName name="QB_ROW_3252300" localSheetId="1" hidden="1">'2015-Past P&amp;L'!#REF!</definedName>
    <definedName name="QB_ROW_3262300" localSheetId="1" hidden="1">'2015-Past P&amp;L'!#REF!</definedName>
    <definedName name="QB_ROW_326240" localSheetId="5" hidden="1">'2015-Fundraising costs'!$E$4</definedName>
    <definedName name="QB_ROW_328230" localSheetId="4" hidden="1">'2015-Balance Sheet'!$D$11</definedName>
    <definedName name="QB_ROW_330260" localSheetId="5" hidden="1">'2015-Fundraising costs'!$G$13</definedName>
    <definedName name="QB_ROW_330260" localSheetId="2" hidden="1">'2015-Future budget'!$G$49</definedName>
    <definedName name="QB_ROW_3302600" localSheetId="1" hidden="1">'2015-Past P&amp;L'!#REF!</definedName>
    <definedName name="QB_ROW_331250" localSheetId="4" hidden="1">'2015-Balance Sheet'!$F$106</definedName>
    <definedName name="QB_ROW_332250" localSheetId="4" hidden="1">'2015-Balance Sheet'!$F$113</definedName>
    <definedName name="QB_ROW_333250" localSheetId="2" hidden="1">'2015-Future budget'!$F$27</definedName>
    <definedName name="QB_ROW_3332500" localSheetId="1" hidden="1">'2015-Past P&amp;L'!#REF!</definedName>
    <definedName name="QB_ROW_334230" localSheetId="4" hidden="1">'2015-Balance Sheet'!$D$21</definedName>
    <definedName name="QB_ROW_336250" localSheetId="2" hidden="1">'2015-Future budget'!$F$36</definedName>
    <definedName name="QB_ROW_3362500" localSheetId="1" hidden="1">'2015-Past P&amp;L'!#REF!</definedName>
    <definedName name="QB_ROW_3372500" localSheetId="1" hidden="1">'2015-Past P&amp;L'!#REF!</definedName>
    <definedName name="QB_ROW_339230" localSheetId="4" hidden="1">'2015-Balance Sheet'!$D$7</definedName>
    <definedName name="QB_ROW_340230" localSheetId="4" hidden="1">'2015-Balance Sheet'!$D$18</definedName>
    <definedName name="QB_ROW_341250" localSheetId="2" hidden="1">'2015-Future budget'!$F$47</definedName>
    <definedName name="QB_ROW_343240" localSheetId="4" hidden="1">'2015-Balance Sheet'!$E$93</definedName>
    <definedName name="QB_ROW_344240" localSheetId="4" hidden="1">'2015-Balance Sheet'!$E$94</definedName>
    <definedName name="QB_ROW_345240" localSheetId="4" hidden="1">'2015-Balance Sheet'!$E$80</definedName>
    <definedName name="QB_ROW_3482400" localSheetId="1" hidden="1">'2015-Past P&amp;L'!$E$49</definedName>
    <definedName name="QB_ROW_350250" localSheetId="2" hidden="1">'2015-Future budget'!$F$17</definedName>
    <definedName name="QB_ROW_3502500" localSheetId="1" hidden="1">'2015-Past P&amp;L'!#REF!</definedName>
    <definedName name="QB_ROW_355230" localSheetId="4" hidden="1">'2015-Balance Sheet'!$D$22</definedName>
    <definedName name="QB_ROW_356230" localSheetId="4" hidden="1">'2015-Balance Sheet'!$D$55</definedName>
    <definedName name="QB_ROW_357020" localSheetId="4" hidden="1">'2015-Balance Sheet'!$C$49</definedName>
    <definedName name="QB_ROW_357320" localSheetId="4" hidden="1">'2015-Balance Sheet'!$C$53</definedName>
    <definedName name="QB_ROW_358020" localSheetId="4" hidden="1">'2015-Balance Sheet'!$C$54</definedName>
    <definedName name="QB_ROW_358320" localSheetId="4" hidden="1">'2015-Balance Sheet'!$C$57</definedName>
    <definedName name="QB_ROW_359020" localSheetId="4" hidden="1">'2015-Balance Sheet'!$C$58</definedName>
    <definedName name="QB_ROW_359320" localSheetId="4" hidden="1">'2015-Balance Sheet'!$C$61</definedName>
    <definedName name="QB_ROW_361220" localSheetId="4" hidden="1">'2015-Balance Sheet'!$C$65</definedName>
    <definedName name="QB_ROW_362230" localSheetId="4" hidden="1">'2015-Balance Sheet'!$D$59</definedName>
    <definedName name="QB_ROW_363230" localSheetId="4" hidden="1">'2015-Balance Sheet'!$D$60</definedName>
    <definedName name="QB_ROW_365230" localSheetId="4" hidden="1">'2015-Balance Sheet'!$D$50</definedName>
    <definedName name="QB_ROW_367030" localSheetId="4" hidden="1">'2015-Balance Sheet'!$D$30</definedName>
    <definedName name="QB_ROW_367330" localSheetId="4" hidden="1">'2015-Balance Sheet'!$D$34</definedName>
    <definedName name="QB_ROW_368030" localSheetId="4" hidden="1">'2015-Balance Sheet'!$D$36</definedName>
    <definedName name="QB_ROW_368240" localSheetId="4" hidden="1">'2015-Balance Sheet'!$E$39</definedName>
    <definedName name="QB_ROW_368330" localSheetId="4" hidden="1">'2015-Balance Sheet'!$D$40</definedName>
    <definedName name="QB_ROW_369240" localSheetId="4" hidden="1">'2015-Balance Sheet'!$E$33</definedName>
    <definedName name="QB_ROW_370240" localSheetId="4" hidden="1">'2015-Balance Sheet'!$E$32</definedName>
    <definedName name="QB_ROW_371240" localSheetId="4" hidden="1">'2015-Balance Sheet'!$E$38</definedName>
    <definedName name="QB_ROW_373240" localSheetId="4" hidden="1">'2015-Balance Sheet'!$E$44</definedName>
    <definedName name="QB_ROW_375230" localSheetId="4" hidden="1">'2015-Balance Sheet'!$D$52</definedName>
    <definedName name="QB_ROW_376230" localSheetId="4" hidden="1">'2015-Balance Sheet'!$D$56</definedName>
    <definedName name="QB_ROW_3782400" localSheetId="1" hidden="1">'2015-Past P&amp;L'!$E$47</definedName>
    <definedName name="QB_ROW_3792400" localSheetId="1" hidden="1">'2015-Past P&amp;L'!$E$48</definedName>
    <definedName name="QB_ROW_380240" localSheetId="4" hidden="1">'2015-Balance Sheet'!$E$43</definedName>
    <definedName name="QB_ROW_381240" localSheetId="4" hidden="1">'2015-Balance Sheet'!$E$31</definedName>
    <definedName name="QB_ROW_382240" localSheetId="4" hidden="1">'2015-Balance Sheet'!$E$37</definedName>
    <definedName name="QB_ROW_383240" localSheetId="4" hidden="1">'2015-Balance Sheet'!$E$85</definedName>
    <definedName name="QB_ROW_384240" localSheetId="4" hidden="1">'2015-Balance Sheet'!$E$83</definedName>
    <definedName name="QB_ROW_386240" localSheetId="4" hidden="1">'2015-Balance Sheet'!$E$117</definedName>
    <definedName name="QB_ROW_387230" localSheetId="4" hidden="1">'2015-Balance Sheet'!$D$35</definedName>
    <definedName name="QB_ROW_389230" localSheetId="4" hidden="1">'2015-Balance Sheet'!$D$26</definedName>
    <definedName name="QB_ROW_395240" localSheetId="4" hidden="1">'2015-Balance Sheet'!$E$116</definedName>
    <definedName name="QB_ROW_3962600" localSheetId="1" hidden="1">'2015-Past P&amp;L'!$G$26</definedName>
    <definedName name="QB_ROW_400250" localSheetId="2" hidden="1">'2015-Future budget'!$F$20</definedName>
    <definedName name="QB_ROW_401260" localSheetId="2" hidden="1">'2015-Future budget'!$G$80</definedName>
    <definedName name="QB_ROW_4021" localSheetId="4" hidden="1">'2015-Balance Sheet'!$C$28</definedName>
    <definedName name="QB_ROW_404260" localSheetId="2" hidden="1">'2015-Future budget'!$G$75</definedName>
    <definedName name="QB_ROW_406250" localSheetId="2" hidden="1">'2015-Future budget'!$F$23</definedName>
    <definedName name="QB_ROW_407250" localSheetId="2" hidden="1">'2015-Future budget'!$F$32</definedName>
    <definedName name="QB_ROW_408250" localSheetId="4" hidden="1">'2015-Balance Sheet'!$F$114</definedName>
    <definedName name="QB_ROW_409220" localSheetId="4" hidden="1">'2015-Balance Sheet'!$C$64</definedName>
    <definedName name="QB_ROW_412230" localSheetId="4" hidden="1">'2015-Balance Sheet'!$D$25</definedName>
    <definedName name="QB_ROW_414040" localSheetId="4" hidden="1">'2015-Balance Sheet'!$E$108</definedName>
    <definedName name="QB_ROW_414340" localSheetId="4" hidden="1">'2015-Balance Sheet'!$E$110</definedName>
    <definedName name="QB_ROW_415250" localSheetId="4" hidden="1">'2015-Balance Sheet'!$F$109</definedName>
    <definedName name="QB_ROW_419040" localSheetId="4" hidden="1">'2015-Balance Sheet'!$E$111</definedName>
    <definedName name="QB_ROW_419340" localSheetId="4" hidden="1">'2015-Balance Sheet'!$E$115</definedName>
    <definedName name="QB_ROW_429230" localSheetId="4" hidden="1">'2015-Balance Sheet'!$D$5</definedName>
    <definedName name="QB_ROW_4321" localSheetId="4" hidden="1">'2015-Balance Sheet'!$C$46</definedName>
    <definedName name="QB_ROW_456250" localSheetId="4" hidden="1">'2015-Balance Sheet'!$F$112</definedName>
    <definedName name="QB_ROW_5011" localSheetId="4" hidden="1">'2015-Balance Sheet'!$B$48</definedName>
    <definedName name="QB_ROW_51240" localSheetId="4" hidden="1">'2015-Balance Sheet'!$E$84</definedName>
    <definedName name="QB_ROW_52220" localSheetId="4" hidden="1">'2015-Balance Sheet'!#REF!</definedName>
    <definedName name="QB_ROW_5311" localSheetId="4" hidden="1">'2015-Balance Sheet'!$B$62</definedName>
    <definedName name="QB_ROW_53230" localSheetId="4" hidden="1">'2015-Balance Sheet'!$D$8</definedName>
    <definedName name="QB_ROW_6011" localSheetId="4" hidden="1">'2015-Balance Sheet'!$B$63</definedName>
    <definedName name="QB_ROW_6311" localSheetId="4" hidden="1">'2015-Balance Sheet'!$B$67</definedName>
    <definedName name="QB_ROW_65230" localSheetId="4" hidden="1">'2015-Balance Sheet'!$D$14</definedName>
    <definedName name="QB_ROW_66230" localSheetId="4" hidden="1">'2015-Balance Sheet'!$D$15</definedName>
    <definedName name="QB_ROW_67230" localSheetId="4" hidden="1">'2015-Balance Sheet'!$D$16</definedName>
    <definedName name="QB_ROW_7001" localSheetId="4" hidden="1">'2015-Balance Sheet'!$A$69</definedName>
    <definedName name="QB_ROW_70230" localSheetId="4" hidden="1">'2015-Balance Sheet'!$D$23</definedName>
    <definedName name="QB_ROW_7301" localSheetId="4" hidden="1">'2015-Balance Sheet'!$A$122</definedName>
    <definedName name="QB_ROW_76230" localSheetId="4" hidden="1">'2015-Balance Sheet'!$D$51</definedName>
    <definedName name="QB_ROW_79220" localSheetId="4" hidden="1">'2015-Balance Sheet'!$C$66</definedName>
    <definedName name="QB_ROW_8011" localSheetId="4" hidden="1">'2015-Balance Sheet'!$B$70</definedName>
    <definedName name="QB_ROW_80240" localSheetId="4" hidden="1">'2015-Balance Sheet'!$E$73</definedName>
    <definedName name="QB_ROW_82240" localSheetId="4" hidden="1">'2015-Balance Sheet'!$E$75</definedName>
    <definedName name="QB_ROW_8311" localSheetId="4" hidden="1">'2015-Balance Sheet'!$B$89</definedName>
    <definedName name="QB_ROW_83240" localSheetId="4" hidden="1">'2015-Balance Sheet'!$E$76</definedName>
    <definedName name="QB_ROW_84240" localSheetId="4" hidden="1">'2015-Balance Sheet'!$E$77</definedName>
    <definedName name="QB_ROW_863210" localSheetId="1" hidden="1">'2015-Past P&amp;L'!#REF!</definedName>
    <definedName name="QB_ROW_87020" localSheetId="4" hidden="1">'2015-Balance Sheet'!$C$91</definedName>
    <definedName name="QB_ROW_87320" localSheetId="4" hidden="1">'2015-Balance Sheet'!$C$100</definedName>
    <definedName name="QB_ROW_88020" localSheetId="4" hidden="1">'2015-Balance Sheet'!$C$101</definedName>
    <definedName name="QB_ROW_88320" localSheetId="4" hidden="1">'2015-Balance Sheet'!$C$120</definedName>
    <definedName name="QB_ROW_890400" localSheetId="1" hidden="1">'2015-Past P&amp;L'!#REF!</definedName>
    <definedName name="QB_ROW_893400" localSheetId="1" hidden="1">'2015-Past P&amp;L'!#REF!</definedName>
    <definedName name="QB_ROW_9021" localSheetId="4" hidden="1">'2015-Balance Sheet'!$C$71</definedName>
    <definedName name="QB_ROW_902600" localSheetId="1" hidden="1">'2015-Past P&amp;L'!#REF!</definedName>
    <definedName name="QB_ROW_912600" localSheetId="1" hidden="1">'2015-Past P&amp;L'!#REF!</definedName>
    <definedName name="QB_ROW_922600" localSheetId="1" hidden="1">'2015-Past P&amp;L'!#REF!</definedName>
    <definedName name="QB_ROW_930600" localSheetId="1" hidden="1">'2015-Past P&amp;L'!#REF!</definedName>
    <definedName name="QB_ROW_9321" localSheetId="4" hidden="1">'2015-Balance Sheet'!$C$88</definedName>
    <definedName name="QB_ROW_933600" localSheetId="1" hidden="1">'2015-Past P&amp;L'!#REF!</definedName>
    <definedName name="QB_ROW_942700" localSheetId="1" hidden="1">'2015-Past P&amp;L'!#REF!</definedName>
    <definedName name="QB_ROW_952700" localSheetId="1" hidden="1">'2015-Past P&amp;L'!#REF!</definedName>
    <definedName name="QB_ROW_962600" localSheetId="1" hidden="1">'2015-Past P&amp;L'!#REF!</definedName>
    <definedName name="QB_ROW_972600" localSheetId="1" hidden="1">'2015-Past P&amp;L'!#REF!</definedName>
    <definedName name="QB_ROW_990500" localSheetId="1" hidden="1">'2015-Past P&amp;L'!#REF!</definedName>
    <definedName name="QB_ROW_993500" localSheetId="1" hidden="1">'2015-Past P&amp;L'!#REF!</definedName>
    <definedName name="QB_SUBTITLE_3" localSheetId="2" hidden="1">'2015-Future budget'!$A$3</definedName>
    <definedName name="QB_SUBTITLE_3" localSheetId="1" hidden="1">'2015-Past P&amp;L'!$A$3</definedName>
    <definedName name="QB_TIME_5" localSheetId="2" hidden="1">'2015-Future budget'!$S$1</definedName>
    <definedName name="QB_TIME_5" localSheetId="1" hidden="1">'2015-Past P&amp;L'!$AS$1</definedName>
    <definedName name="QB_TITLE_2" localSheetId="2" hidden="1">'2015-Future budget'!$A$2</definedName>
    <definedName name="QB_TITLE_2" localSheetId="1" hidden="1">'2015-Past P&amp;L'!$A$2</definedName>
    <definedName name="QBCANSUPPORTUPDATE" localSheetId="4">TRUE</definedName>
    <definedName name="QBCANSUPPORTUPDATE" localSheetId="3">TRUE</definedName>
    <definedName name="QBCANSUPPORTUPDATE" localSheetId="5">TRUE</definedName>
    <definedName name="QBCANSUPPORTUPDATE" localSheetId="2">TRUE</definedName>
    <definedName name="QBCANSUPPORTUPDATE" localSheetId="1">TRUE</definedName>
    <definedName name="QBCOMPANYFILENAME" localSheetId="4">"I:\GiveDirectly-data\Give Directly Inc 2015 May close .QBW"</definedName>
    <definedName name="QBCOMPANYFILENAME" localSheetId="3">"I:\Give Directly Inc 2015 May close .QBW"</definedName>
    <definedName name="QBCOMPANYFILENAME" localSheetId="5">"I:\Give Directly Inc 2015 May close .QBW"</definedName>
    <definedName name="QBCOMPANYFILENAME" localSheetId="2">"C:\Users\carolina\Dropbox (GiveDirectly)\Finance &amp; Operations (restricted)\QuickBooks\Current QB file\Give Direct Inc 2015 Mar close at 042415.QBW"</definedName>
    <definedName name="QBCOMPANYFILENAME" localSheetId="1">"C:\Users\carolina\Dropbox (GiveDirectly)\Finance &amp; Operations (restricted)\QuickBooks\Current QB file\Give Direct Inc 2015 Mar close at 042415.QBW"</definedName>
    <definedName name="QBENDDATE" localSheetId="4">20150630</definedName>
    <definedName name="QBENDDATE" localSheetId="3">20150630</definedName>
    <definedName name="QBENDDATE" localSheetId="5">20150630</definedName>
    <definedName name="QBENDDATE" localSheetId="2">20161231</definedName>
    <definedName name="QBENDDATE" localSheetId="1">20150331</definedName>
    <definedName name="QBHEADERSONSCREEN" localSheetId="4">FALSE</definedName>
    <definedName name="QBHEADERSONSCREEN" localSheetId="3">FALSE</definedName>
    <definedName name="QBHEADERSONSCREEN" localSheetId="5">FALSE</definedName>
    <definedName name="QBHEADERSONSCREEN" localSheetId="2">TRUE</definedName>
    <definedName name="QBHEADERSONSCREEN" localSheetId="1">TRUE</definedName>
    <definedName name="QBMETADATASIZE" localSheetId="4">5892</definedName>
    <definedName name="QBMETADATASIZE" localSheetId="3">5900</definedName>
    <definedName name="QBMETADATASIZE" localSheetId="5">5892</definedName>
    <definedName name="QBMETADATASIZE" localSheetId="2">5892</definedName>
    <definedName name="QBMETADATASIZE" localSheetId="1">5892</definedName>
    <definedName name="QBPRESERVECOLOR" localSheetId="4">TRUE</definedName>
    <definedName name="QBPRESERVECOLOR" localSheetId="3">TRUE</definedName>
    <definedName name="QBPRESERVECOLOR" localSheetId="5">TRUE</definedName>
    <definedName name="QBPRESERVECOLOR" localSheetId="2">TRUE</definedName>
    <definedName name="QBPRESERVECOLOR" localSheetId="1">TRUE</definedName>
    <definedName name="QBPRESERVEFONT" localSheetId="4">TRUE</definedName>
    <definedName name="QBPRESERVEFONT" localSheetId="3">TRUE</definedName>
    <definedName name="QBPRESERVEFONT" localSheetId="5">TRUE</definedName>
    <definedName name="QBPRESERVEFONT" localSheetId="2">TRUE</definedName>
    <definedName name="QBPRESERVEFONT" localSheetId="1">TRUE</definedName>
    <definedName name="QBPRESERVEROWHEIGHT" localSheetId="4">TRUE</definedName>
    <definedName name="QBPRESERVEROWHEIGHT" localSheetId="3">TRUE</definedName>
    <definedName name="QBPRESERVEROWHEIGHT" localSheetId="5">TRUE</definedName>
    <definedName name="QBPRESERVEROWHEIGHT" localSheetId="2">FALSE</definedName>
    <definedName name="QBPRESERVEROWHEIGHT" localSheetId="1">FALSE</definedName>
    <definedName name="QBPRESERVESPACE" localSheetId="4">TRUE</definedName>
    <definedName name="QBPRESERVESPACE" localSheetId="3">TRUE</definedName>
    <definedName name="QBPRESERVESPACE" localSheetId="5">TRUE</definedName>
    <definedName name="QBPRESERVESPACE" localSheetId="2">FALSE</definedName>
    <definedName name="QBPRESERVESPACE" localSheetId="1">FALSE</definedName>
    <definedName name="QBREPORTCOLAXIS" localSheetId="4">0</definedName>
    <definedName name="QBREPORTCOLAXIS" localSheetId="3">6</definedName>
    <definedName name="QBREPORTCOLAXIS" localSheetId="5">6</definedName>
    <definedName name="QBREPORTCOLAXIS" localSheetId="2">19</definedName>
    <definedName name="QBREPORTCOLAXIS" localSheetId="1">19</definedName>
    <definedName name="QBREPORTCOMPANYID" localSheetId="4">"bda66c9846b54ff4afe02b94fef2bb09"</definedName>
    <definedName name="QBREPORTCOMPANYID" localSheetId="3">"bda66c9846b54ff4afe02b94fef2bb09"</definedName>
    <definedName name="QBREPORTCOMPANYID" localSheetId="5">"bda66c9846b54ff4afe02b94fef2bb09"</definedName>
    <definedName name="QBREPORTCOMPANYID" localSheetId="2">"bda66c9846b54ff4afe02b94fef2bb09"</definedName>
    <definedName name="QBREPORTCOMPANYID" localSheetId="1">"bda66c9846b54ff4afe02b94fef2bb09"</definedName>
    <definedName name="QBREPORTCOMPARECOL_ANNUALBUDGET" localSheetId="4">FALSE</definedName>
    <definedName name="QBREPORTCOMPARECOL_ANNUALBUDGET" localSheetId="3">FALSE</definedName>
    <definedName name="QBREPORTCOMPARECOL_ANNUALBUDGET" localSheetId="5">FALSE</definedName>
    <definedName name="QBREPORTCOMPARECOL_ANNUALBUDGET" localSheetId="2">FALSE</definedName>
    <definedName name="QBREPORTCOMPARECOL_ANNUALBUDGET" localSheetId="1">FALSE</definedName>
    <definedName name="QBREPORTCOMPARECOL_AVGCOGS" localSheetId="4">FALSE</definedName>
    <definedName name="QBREPORTCOMPARECOL_AVGCOGS" localSheetId="3">FALSE</definedName>
    <definedName name="QBREPORTCOMPARECOL_AVGCOGS" localSheetId="5">FALSE</definedName>
    <definedName name="QBREPORTCOMPARECOL_AVGCOGS" localSheetId="2">FALSE</definedName>
    <definedName name="QBREPORTCOMPARECOL_AVGCOGS" localSheetId="1">FALSE</definedName>
    <definedName name="QBREPORTCOMPARECOL_AVGPRICE" localSheetId="4">FALSE</definedName>
    <definedName name="QBREPORTCOMPARECOL_AVGPRICE" localSheetId="3">FALSE</definedName>
    <definedName name="QBREPORTCOMPARECOL_AVGPRICE" localSheetId="5">FALSE</definedName>
    <definedName name="QBREPORTCOMPARECOL_AVGPRICE" localSheetId="2">FALSE</definedName>
    <definedName name="QBREPORTCOMPARECOL_AVGPRICE" localSheetId="1">FALSE</definedName>
    <definedName name="QBREPORTCOMPARECOL_BUDDIFF" localSheetId="4">FALSE</definedName>
    <definedName name="QBREPORTCOMPARECOL_BUDDIFF" localSheetId="3">FALSE</definedName>
    <definedName name="QBREPORTCOMPARECOL_BUDDIFF" localSheetId="5">FALSE</definedName>
    <definedName name="QBREPORTCOMPARECOL_BUDDIFF" localSheetId="2">FALSE</definedName>
    <definedName name="QBREPORTCOMPARECOL_BUDDIFF" localSheetId="1">FALSE</definedName>
    <definedName name="QBREPORTCOMPARECOL_BUDGET" localSheetId="4">FALSE</definedName>
    <definedName name="QBREPORTCOMPARECOL_BUDGET" localSheetId="3">FALSE</definedName>
    <definedName name="QBREPORTCOMPARECOL_BUDGET" localSheetId="5">FALSE</definedName>
    <definedName name="QBREPORTCOMPARECOL_BUDGET" localSheetId="2">TRUE</definedName>
    <definedName name="QBREPORTCOMPARECOL_BUDGET" localSheetId="1">FALSE</definedName>
    <definedName name="QBREPORTCOMPARECOL_BUDPCT" localSheetId="4">FALSE</definedName>
    <definedName name="QBREPORTCOMPARECOL_BUDPCT" localSheetId="3">FALSE</definedName>
    <definedName name="QBREPORTCOMPARECOL_BUDPCT" localSheetId="5">FALSE</definedName>
    <definedName name="QBREPORTCOMPARECOL_BUDPCT" localSheetId="2">FALSE</definedName>
    <definedName name="QBREPORTCOMPARECOL_BUDPCT" localSheetId="1">FALSE</definedName>
    <definedName name="QBREPORTCOMPARECOL_COGS" localSheetId="4">FALSE</definedName>
    <definedName name="QBREPORTCOMPARECOL_COGS" localSheetId="3">FALSE</definedName>
    <definedName name="QBREPORTCOMPARECOL_COGS" localSheetId="5">FALSE</definedName>
    <definedName name="QBREPORTCOMPARECOL_COGS" localSheetId="2">FALSE</definedName>
    <definedName name="QBREPORTCOMPARECOL_COGS" localSheetId="1">FALSE</definedName>
    <definedName name="QBREPORTCOMPARECOL_EXCLUDEAMOUNT" localSheetId="4">FALSE</definedName>
    <definedName name="QBREPORTCOMPARECOL_EXCLUDEAMOUNT" localSheetId="3">FALSE</definedName>
    <definedName name="QBREPORTCOMPARECOL_EXCLUDEAMOUNT" localSheetId="5">FALSE</definedName>
    <definedName name="QBREPORTCOMPARECOL_EXCLUDEAMOUNT" localSheetId="2">FALSE</definedName>
    <definedName name="QBREPORTCOMPARECOL_EXCLUDEAMOUNT" localSheetId="1">FALSE</definedName>
    <definedName name="QBREPORTCOMPARECOL_EXCLUDECURPERIOD" localSheetId="4">FALSE</definedName>
    <definedName name="QBREPORTCOMPARECOL_EXCLUDECURPERIOD" localSheetId="3">FALSE</definedName>
    <definedName name="QBREPORTCOMPARECOL_EXCLUDECURPERIOD" localSheetId="5">FALSE</definedName>
    <definedName name="QBREPORTCOMPARECOL_EXCLUDECURPERIOD" localSheetId="2">TRUE</definedName>
    <definedName name="QBREPORTCOMPARECOL_EXCLUDECURPERIOD" localSheetId="1">FALSE</definedName>
    <definedName name="QBREPORTCOMPARECOL_FORECAST" localSheetId="4">FALSE</definedName>
    <definedName name="QBREPORTCOMPARECOL_FORECAST" localSheetId="3">FALSE</definedName>
    <definedName name="QBREPORTCOMPARECOL_FORECAST" localSheetId="5">FALSE</definedName>
    <definedName name="QBREPORTCOMPARECOL_FORECAST" localSheetId="2">FALSE</definedName>
    <definedName name="QBREPORTCOMPARECOL_FORECAST" localSheetId="1">FALSE</definedName>
    <definedName name="QBREPORTCOMPARECOL_GROSSMARGIN" localSheetId="4">FALSE</definedName>
    <definedName name="QBREPORTCOMPARECOL_GROSSMARGIN" localSheetId="3">FALSE</definedName>
    <definedName name="QBREPORTCOMPARECOL_GROSSMARGIN" localSheetId="5">FALSE</definedName>
    <definedName name="QBREPORTCOMPARECOL_GROSSMARGIN" localSheetId="2">FALSE</definedName>
    <definedName name="QBREPORTCOMPARECOL_GROSSMARGIN" localSheetId="1">FALSE</definedName>
    <definedName name="QBREPORTCOMPARECOL_GROSSMARGINPCT" localSheetId="4">FALSE</definedName>
    <definedName name="QBREPORTCOMPARECOL_GROSSMARGINPCT" localSheetId="3">FALSE</definedName>
    <definedName name="QBREPORTCOMPARECOL_GROSSMARGINPCT" localSheetId="5">FALSE</definedName>
    <definedName name="QBREPORTCOMPARECOL_GROSSMARGINPCT" localSheetId="2">FALSE</definedName>
    <definedName name="QBREPORTCOMPARECOL_GROSSMARGINPCT" localSheetId="1">FALSE</definedName>
    <definedName name="QBREPORTCOMPARECOL_HOURS" localSheetId="4">FALSE</definedName>
    <definedName name="QBREPORTCOMPARECOL_HOURS" localSheetId="3">FALSE</definedName>
    <definedName name="QBREPORTCOMPARECOL_HOURS" localSheetId="5">FALSE</definedName>
    <definedName name="QBREPORTCOMPARECOL_HOURS" localSheetId="2">FALSE</definedName>
    <definedName name="QBREPORTCOMPARECOL_HOURS" localSheetId="1">FALSE</definedName>
    <definedName name="QBREPORTCOMPARECOL_PCTCOL" localSheetId="4">FALSE</definedName>
    <definedName name="QBREPORTCOMPARECOL_PCTCOL" localSheetId="3">FALSE</definedName>
    <definedName name="QBREPORTCOMPARECOL_PCTCOL" localSheetId="5">FALSE</definedName>
    <definedName name="QBREPORTCOMPARECOL_PCTCOL" localSheetId="2">FALSE</definedName>
    <definedName name="QBREPORTCOMPARECOL_PCTCOL" localSheetId="1">FALSE</definedName>
    <definedName name="QBREPORTCOMPARECOL_PCTEXPENSE" localSheetId="4">FALSE</definedName>
    <definedName name="QBREPORTCOMPARECOL_PCTEXPENSE" localSheetId="3">FALSE</definedName>
    <definedName name="QBREPORTCOMPARECOL_PCTEXPENSE" localSheetId="5">FALSE</definedName>
    <definedName name="QBREPORTCOMPARECOL_PCTEXPENSE" localSheetId="2">FALSE</definedName>
    <definedName name="QBREPORTCOMPARECOL_PCTEXPENSE" localSheetId="1">FALSE</definedName>
    <definedName name="QBREPORTCOMPARECOL_PCTINCOME" localSheetId="4">FALSE</definedName>
    <definedName name="QBREPORTCOMPARECOL_PCTINCOME" localSheetId="3">FALSE</definedName>
    <definedName name="QBREPORTCOMPARECOL_PCTINCOME" localSheetId="5">FALSE</definedName>
    <definedName name="QBREPORTCOMPARECOL_PCTINCOME" localSheetId="2">FALSE</definedName>
    <definedName name="QBREPORTCOMPARECOL_PCTINCOME" localSheetId="1">FALSE</definedName>
    <definedName name="QBREPORTCOMPARECOL_PCTOFSALES" localSheetId="4">FALSE</definedName>
    <definedName name="QBREPORTCOMPARECOL_PCTOFSALES" localSheetId="3">FALSE</definedName>
    <definedName name="QBREPORTCOMPARECOL_PCTOFSALES" localSheetId="5">FALSE</definedName>
    <definedName name="QBREPORTCOMPARECOL_PCTOFSALES" localSheetId="2">FALSE</definedName>
    <definedName name="QBREPORTCOMPARECOL_PCTOFSALES" localSheetId="1">FALSE</definedName>
    <definedName name="QBREPORTCOMPARECOL_PCTROW" localSheetId="4">FALSE</definedName>
    <definedName name="QBREPORTCOMPARECOL_PCTROW" localSheetId="3">FALSE</definedName>
    <definedName name="QBREPORTCOMPARECOL_PCTROW" localSheetId="5">FALSE</definedName>
    <definedName name="QBREPORTCOMPARECOL_PCTROW" localSheetId="2">FALSE</definedName>
    <definedName name="QBREPORTCOMPARECOL_PCTROW" localSheetId="1">FALSE</definedName>
    <definedName name="QBREPORTCOMPARECOL_PPDIFF" localSheetId="4">FALSE</definedName>
    <definedName name="QBREPORTCOMPARECOL_PPDIFF" localSheetId="3">FALSE</definedName>
    <definedName name="QBREPORTCOMPARECOL_PPDIFF" localSheetId="5">FALSE</definedName>
    <definedName name="QBREPORTCOMPARECOL_PPDIFF" localSheetId="2">FALSE</definedName>
    <definedName name="QBREPORTCOMPARECOL_PPDIFF" localSheetId="1">FALSE</definedName>
    <definedName name="QBREPORTCOMPARECOL_PPPCT" localSheetId="4">FALSE</definedName>
    <definedName name="QBREPORTCOMPARECOL_PPPCT" localSheetId="3">FALSE</definedName>
    <definedName name="QBREPORTCOMPARECOL_PPPCT" localSheetId="5">FALSE</definedName>
    <definedName name="QBREPORTCOMPARECOL_PPPCT" localSheetId="2">FALSE</definedName>
    <definedName name="QBREPORTCOMPARECOL_PPPCT" localSheetId="1">FALSE</definedName>
    <definedName name="QBREPORTCOMPARECOL_PREVPERIOD" localSheetId="4">FALSE</definedName>
    <definedName name="QBREPORTCOMPARECOL_PREVPERIOD" localSheetId="3">FALSE</definedName>
    <definedName name="QBREPORTCOMPARECOL_PREVPERIOD" localSheetId="5">FALSE</definedName>
    <definedName name="QBREPORTCOMPARECOL_PREVPERIOD" localSheetId="2">FALSE</definedName>
    <definedName name="QBREPORTCOMPARECOL_PREVPERIOD" localSheetId="1">FALSE</definedName>
    <definedName name="QBREPORTCOMPARECOL_PREVYEAR" localSheetId="4">FALSE</definedName>
    <definedName name="QBREPORTCOMPARECOL_PREVYEAR" localSheetId="3">FALSE</definedName>
    <definedName name="QBREPORTCOMPARECOL_PREVYEAR" localSheetId="5">FALSE</definedName>
    <definedName name="QBREPORTCOMPARECOL_PREVYEAR" localSheetId="2">FALSE</definedName>
    <definedName name="QBREPORTCOMPARECOL_PREVYEAR" localSheetId="1">FALSE</definedName>
    <definedName name="QBREPORTCOMPARECOL_PYDIFF" localSheetId="4">FALSE</definedName>
    <definedName name="QBREPORTCOMPARECOL_PYDIFF" localSheetId="3">FALSE</definedName>
    <definedName name="QBREPORTCOMPARECOL_PYDIFF" localSheetId="5">FALSE</definedName>
    <definedName name="QBREPORTCOMPARECOL_PYDIFF" localSheetId="2">FALSE</definedName>
    <definedName name="QBREPORTCOMPARECOL_PYDIFF" localSheetId="1">FALSE</definedName>
    <definedName name="QBREPORTCOMPARECOL_PYPCT" localSheetId="4">FALSE</definedName>
    <definedName name="QBREPORTCOMPARECOL_PYPCT" localSheetId="3">FALSE</definedName>
    <definedName name="QBREPORTCOMPARECOL_PYPCT" localSheetId="5">FALSE</definedName>
    <definedName name="QBREPORTCOMPARECOL_PYPCT" localSheetId="2">FALSE</definedName>
    <definedName name="QBREPORTCOMPARECOL_PYPCT" localSheetId="1">FALSE</definedName>
    <definedName name="QBREPORTCOMPARECOL_QTY" localSheetId="4">FALSE</definedName>
    <definedName name="QBREPORTCOMPARECOL_QTY" localSheetId="3">FALSE</definedName>
    <definedName name="QBREPORTCOMPARECOL_QTY" localSheetId="5">FALSE</definedName>
    <definedName name="QBREPORTCOMPARECOL_QTY" localSheetId="2">FALSE</definedName>
    <definedName name="QBREPORTCOMPARECOL_QTY" localSheetId="1">FALSE</definedName>
    <definedName name="QBREPORTCOMPARECOL_RATE" localSheetId="4">FALSE</definedName>
    <definedName name="QBREPORTCOMPARECOL_RATE" localSheetId="3">FALSE</definedName>
    <definedName name="QBREPORTCOMPARECOL_RATE" localSheetId="5">FALSE</definedName>
    <definedName name="QBREPORTCOMPARECOL_RATE" localSheetId="2">FALSE</definedName>
    <definedName name="QBREPORTCOMPARECOL_RATE" localSheetId="1">FALSE</definedName>
    <definedName name="QBREPORTCOMPARECOL_TRIPBILLEDMILES" localSheetId="4">FALSE</definedName>
    <definedName name="QBREPORTCOMPARECOL_TRIPBILLEDMILES" localSheetId="3">FALSE</definedName>
    <definedName name="QBREPORTCOMPARECOL_TRIPBILLEDMILES" localSheetId="5">FALSE</definedName>
    <definedName name="QBREPORTCOMPARECOL_TRIPBILLEDMILES" localSheetId="2">FALSE</definedName>
    <definedName name="QBREPORTCOMPARECOL_TRIPBILLEDMILES" localSheetId="1">FALSE</definedName>
    <definedName name="QBREPORTCOMPARECOL_TRIPBILLINGAMOUNT" localSheetId="4">FALSE</definedName>
    <definedName name="QBREPORTCOMPARECOL_TRIPBILLINGAMOUNT" localSheetId="3">FALSE</definedName>
    <definedName name="QBREPORTCOMPARECOL_TRIPBILLINGAMOUNT" localSheetId="5">FALSE</definedName>
    <definedName name="QBREPORTCOMPARECOL_TRIPBILLINGAMOUNT" localSheetId="2">FALSE</definedName>
    <definedName name="QBREPORTCOMPARECOL_TRIPBILLINGAMOUNT" localSheetId="1">FALSE</definedName>
    <definedName name="QBREPORTCOMPARECOL_TRIPMILES" localSheetId="4">FALSE</definedName>
    <definedName name="QBREPORTCOMPARECOL_TRIPMILES" localSheetId="3">FALSE</definedName>
    <definedName name="QBREPORTCOMPARECOL_TRIPMILES" localSheetId="5">FALSE</definedName>
    <definedName name="QBREPORTCOMPARECOL_TRIPMILES" localSheetId="2">FALSE</definedName>
    <definedName name="QBREPORTCOMPARECOL_TRIPMILES" localSheetId="1">FALSE</definedName>
    <definedName name="QBREPORTCOMPARECOL_TRIPNOTBILLABLEMILES" localSheetId="4">FALSE</definedName>
    <definedName name="QBREPORTCOMPARECOL_TRIPNOTBILLABLEMILES" localSheetId="3">FALSE</definedName>
    <definedName name="QBREPORTCOMPARECOL_TRIPNOTBILLABLEMILES" localSheetId="5">FALSE</definedName>
    <definedName name="QBREPORTCOMPARECOL_TRIPNOTBILLABLEMILES" localSheetId="2">FALSE</definedName>
    <definedName name="QBREPORTCOMPARECOL_TRIPNOTBILLABLEMILES" localSheetId="1">FALSE</definedName>
    <definedName name="QBREPORTCOMPARECOL_TRIPTAXDEDUCTIBLEAMOUNT" localSheetId="4">FALSE</definedName>
    <definedName name="QBREPORTCOMPARECOL_TRIPTAXDEDUCTIBLEAMOUNT" localSheetId="3">FALSE</definedName>
    <definedName name="QBREPORTCOMPARECOL_TRIPTAXDEDUCTIBLEAMOUNT" localSheetId="5">FALSE</definedName>
    <definedName name="QBREPORTCOMPARECOL_TRIPTAXDEDUCTIBLEAMOUNT" localSheetId="2">FALSE</definedName>
    <definedName name="QBREPORTCOMPARECOL_TRIPTAXDEDUCTIBLEAMOUNT" localSheetId="1">FALSE</definedName>
    <definedName name="QBREPORTCOMPARECOL_TRIPUNBILLEDMILES" localSheetId="4">FALSE</definedName>
    <definedName name="QBREPORTCOMPARECOL_TRIPUNBILLEDMILES" localSheetId="3">FALSE</definedName>
    <definedName name="QBREPORTCOMPARECOL_TRIPUNBILLEDMILES" localSheetId="5">FALSE</definedName>
    <definedName name="QBREPORTCOMPARECOL_TRIPUNBILLEDMILES" localSheetId="2">FALSE</definedName>
    <definedName name="QBREPORTCOMPARECOL_TRIPUNBILLEDMILES" localSheetId="1">FALSE</definedName>
    <definedName name="QBREPORTCOMPARECOL_YTD" localSheetId="4">FALSE</definedName>
    <definedName name="QBREPORTCOMPARECOL_YTD" localSheetId="3">FALSE</definedName>
    <definedName name="QBREPORTCOMPARECOL_YTD" localSheetId="5">FALSE</definedName>
    <definedName name="QBREPORTCOMPARECOL_YTD" localSheetId="2">FALSE</definedName>
    <definedName name="QBREPORTCOMPARECOL_YTD" localSheetId="1">FALSE</definedName>
    <definedName name="QBREPORTCOMPARECOL_YTDBUDGET" localSheetId="4">FALSE</definedName>
    <definedName name="QBREPORTCOMPARECOL_YTDBUDGET" localSheetId="3">FALSE</definedName>
    <definedName name="QBREPORTCOMPARECOL_YTDBUDGET" localSheetId="5">FALSE</definedName>
    <definedName name="QBREPORTCOMPARECOL_YTDBUDGET" localSheetId="2">FALSE</definedName>
    <definedName name="QBREPORTCOMPARECOL_YTDBUDGET" localSheetId="1">FALSE</definedName>
    <definedName name="QBREPORTCOMPARECOL_YTDPCT" localSheetId="4">FALSE</definedName>
    <definedName name="QBREPORTCOMPARECOL_YTDPCT" localSheetId="3">FALSE</definedName>
    <definedName name="QBREPORTCOMPARECOL_YTDPCT" localSheetId="5">FALSE</definedName>
    <definedName name="QBREPORTCOMPARECOL_YTDPCT" localSheetId="2">FALSE</definedName>
    <definedName name="QBREPORTCOMPARECOL_YTDPCT" localSheetId="1">FALSE</definedName>
    <definedName name="QBREPORTROWAXIS" localSheetId="4">9</definedName>
    <definedName name="QBREPORTROWAXIS" localSheetId="3">11</definedName>
    <definedName name="QBREPORTROWAXIS" localSheetId="5">11</definedName>
    <definedName name="QBREPORTROWAXIS" localSheetId="2">11</definedName>
    <definedName name="QBREPORTROWAXIS" localSheetId="1">11</definedName>
    <definedName name="QBREPORTSUBCOLAXIS" localSheetId="4">0</definedName>
    <definedName name="QBREPORTSUBCOLAXIS" localSheetId="3">0</definedName>
    <definedName name="QBREPORTSUBCOLAXIS" localSheetId="5">0</definedName>
    <definedName name="QBREPORTSUBCOLAXIS" localSheetId="2">24</definedName>
    <definedName name="QBREPORTSUBCOLAXIS" localSheetId="1">0</definedName>
    <definedName name="QBREPORTTYPE" localSheetId="4">5</definedName>
    <definedName name="QBREPORTTYPE" localSheetId="3">0</definedName>
    <definedName name="QBREPORTTYPE" localSheetId="5">0</definedName>
    <definedName name="QBREPORTTYPE" localSheetId="2">287</definedName>
    <definedName name="QBREPORTTYPE" localSheetId="1">0</definedName>
    <definedName name="QBROWHEADERS" localSheetId="4">6</definedName>
    <definedName name="QBROWHEADERS" localSheetId="3">6</definedName>
    <definedName name="QBROWHEADERS" localSheetId="5">7</definedName>
    <definedName name="QBROWHEADERS" localSheetId="2">7</definedName>
    <definedName name="QBROWHEADERS" localSheetId="1">8</definedName>
    <definedName name="QBSTARTDATE" localSheetId="4">20150101</definedName>
    <definedName name="QBSTARTDATE" localSheetId="3">20130901</definedName>
    <definedName name="QBSTARTDATE" localSheetId="5">20130901</definedName>
    <definedName name="QBSTARTDATE" localSheetId="2">20150101</definedName>
    <definedName name="QBSTARTDATE" localSheetId="1">20120101</definedName>
    <definedName name="WDs" localSheetId="6">#REF!</definedName>
    <definedName name="WDs">#REF!</definedName>
  </definedNames>
  <calcPr calcId="140000" concurrentCalc="0"/>
  <extLst>
    <ext xmlns:mx="http://schemas.microsoft.com/office/mac/excel/2008/main" uri="{7523E5D3-25F3-A5E0-1632-64F254C22452}">
      <mx:ArchID Flags="2"/>
    </ext>
  </extLst>
</workbook>
</file>

<file path=xl/calcChain.xml><?xml version="1.0" encoding="utf-8"?>
<calcChain xmlns="http://schemas.openxmlformats.org/spreadsheetml/2006/main">
  <c r="F34" i="21" l="1"/>
  <c r="F33" i="21"/>
  <c r="F32" i="21"/>
  <c r="E36" i="21"/>
  <c r="E35" i="21"/>
  <c r="E34" i="21"/>
  <c r="E33" i="21"/>
  <c r="E32" i="21"/>
  <c r="CI11" i="14"/>
  <c r="C32" i="21"/>
  <c r="D33" i="21"/>
  <c r="D34" i="21"/>
  <c r="D35" i="21"/>
  <c r="D36" i="21"/>
  <c r="D32" i="21"/>
  <c r="C36" i="21"/>
  <c r="C35" i="21"/>
  <c r="C34" i="21"/>
  <c r="C33" i="21"/>
  <c r="AD12" i="21"/>
  <c r="AE12" i="21"/>
  <c r="AF12" i="21"/>
  <c r="R12" i="21"/>
  <c r="S12" i="21"/>
  <c r="T12" i="21"/>
  <c r="U12" i="21"/>
  <c r="V12" i="21"/>
  <c r="W12" i="21"/>
  <c r="X12" i="21"/>
  <c r="Y12" i="21"/>
  <c r="Z12" i="21"/>
  <c r="AA12" i="21"/>
  <c r="AC12" i="21"/>
  <c r="AB12" i="21"/>
  <c r="R20" i="21"/>
  <c r="AI11" i="21"/>
  <c r="E19" i="21"/>
  <c r="B19" i="21"/>
  <c r="K5" i="21"/>
  <c r="L5" i="21"/>
  <c r="M5" i="21"/>
  <c r="E5" i="21"/>
  <c r="F5" i="21"/>
  <c r="G5" i="21"/>
  <c r="H5" i="21"/>
  <c r="I5" i="21"/>
  <c r="J5" i="21"/>
  <c r="D5" i="21"/>
  <c r="C5" i="21"/>
  <c r="B5" i="21"/>
  <c r="H19" i="21"/>
  <c r="K19" i="21"/>
  <c r="N19" i="21"/>
  <c r="Q19" i="21"/>
  <c r="Y19" i="21"/>
  <c r="AC19" i="21"/>
  <c r="AC20" i="21"/>
  <c r="AB20" i="21"/>
  <c r="AA20" i="21"/>
  <c r="Z20" i="21"/>
  <c r="Y20" i="21"/>
  <c r="X20" i="21"/>
  <c r="W20" i="21"/>
  <c r="V20" i="21"/>
  <c r="U20" i="21"/>
  <c r="T20" i="21"/>
  <c r="S20" i="21"/>
  <c r="Q20" i="21"/>
  <c r="P20" i="21"/>
  <c r="O20" i="21"/>
  <c r="N20" i="21"/>
  <c r="M20" i="21"/>
  <c r="L20" i="21"/>
  <c r="K20" i="21"/>
  <c r="J20" i="21"/>
  <c r="I20" i="21"/>
  <c r="H20" i="21"/>
  <c r="G20" i="21"/>
  <c r="F20" i="21"/>
  <c r="E20" i="21"/>
  <c r="D20" i="21"/>
  <c r="C20" i="21"/>
  <c r="B20" i="21"/>
  <c r="B6" i="21"/>
  <c r="C6" i="21"/>
  <c r="D6" i="21"/>
  <c r="E6" i="21"/>
  <c r="F6" i="21"/>
  <c r="G6" i="21"/>
  <c r="H6" i="21"/>
  <c r="I6" i="21"/>
  <c r="J6" i="21"/>
  <c r="K6" i="21"/>
  <c r="L6" i="21"/>
  <c r="M6" i="21"/>
  <c r="AI8" i="21"/>
  <c r="B11" i="21"/>
  <c r="B12" i="21"/>
  <c r="M11" i="21"/>
  <c r="C12" i="21"/>
  <c r="D12" i="21"/>
  <c r="E12" i="21"/>
  <c r="F12" i="21"/>
  <c r="G12" i="21"/>
  <c r="H12" i="21"/>
  <c r="I12" i="21"/>
  <c r="J12" i="21"/>
  <c r="K12" i="21"/>
  <c r="L12" i="21"/>
  <c r="M12" i="21"/>
  <c r="AA11" i="21"/>
  <c r="N12" i="21"/>
  <c r="O12" i="21"/>
  <c r="P12" i="21"/>
  <c r="Q12" i="21"/>
  <c r="AG12" i="21"/>
  <c r="AH12" i="21"/>
  <c r="AI12" i="21"/>
  <c r="AI13" i="21"/>
  <c r="AI17" i="21"/>
  <c r="AH8" i="21"/>
  <c r="AH13" i="21"/>
  <c r="AH17" i="21"/>
  <c r="AG8" i="21"/>
  <c r="AG13" i="21"/>
  <c r="AG17" i="21"/>
  <c r="AF8" i="21"/>
  <c r="AF13" i="21"/>
  <c r="AF17" i="21"/>
  <c r="AE8" i="21"/>
  <c r="AE13" i="21"/>
  <c r="AE17" i="21"/>
  <c r="AD8" i="21"/>
  <c r="AD13" i="21"/>
  <c r="AD17" i="21"/>
  <c r="AC8" i="21"/>
  <c r="AC13" i="21"/>
  <c r="AC17" i="21"/>
  <c r="AB8" i="21"/>
  <c r="AB13" i="21"/>
  <c r="AB17" i="21"/>
  <c r="AA8" i="21"/>
  <c r="AA13" i="21"/>
  <c r="AA17" i="21"/>
  <c r="Z8" i="21"/>
  <c r="Z13" i="21"/>
  <c r="Z17" i="21"/>
  <c r="Y8" i="21"/>
  <c r="Y13" i="21"/>
  <c r="Y17" i="21"/>
  <c r="X8" i="21"/>
  <c r="X13" i="21"/>
  <c r="X17" i="21"/>
  <c r="W8" i="21"/>
  <c r="W13" i="21"/>
  <c r="W17" i="21"/>
  <c r="V8" i="21"/>
  <c r="V13" i="21"/>
  <c r="V17" i="21"/>
  <c r="U8" i="21"/>
  <c r="U13" i="21"/>
  <c r="U17" i="21"/>
  <c r="T8" i="21"/>
  <c r="T13" i="21"/>
  <c r="T17" i="21"/>
  <c r="S8" i="21"/>
  <c r="S13" i="21"/>
  <c r="S17" i="21"/>
  <c r="R8" i="21"/>
  <c r="R13" i="21"/>
  <c r="R17" i="21"/>
  <c r="Q8" i="21"/>
  <c r="Q13" i="21"/>
  <c r="Q17" i="21"/>
  <c r="P8" i="21"/>
  <c r="P13" i="21"/>
  <c r="P17" i="21"/>
  <c r="O8" i="21"/>
  <c r="O13" i="21"/>
  <c r="O17" i="21"/>
  <c r="N8" i="21"/>
  <c r="N13" i="21"/>
  <c r="N17" i="21"/>
  <c r="M8" i="21"/>
  <c r="M13" i="21"/>
  <c r="M17" i="21"/>
  <c r="L8" i="21"/>
  <c r="L13" i="21"/>
  <c r="L17" i="21"/>
  <c r="K8" i="21"/>
  <c r="K13" i="21"/>
  <c r="K17" i="21"/>
  <c r="J8" i="21"/>
  <c r="J13" i="21"/>
  <c r="J17" i="21"/>
  <c r="I8" i="21"/>
  <c r="I13" i="21"/>
  <c r="I17" i="21"/>
  <c r="H8" i="21"/>
  <c r="H13" i="21"/>
  <c r="H17" i="21"/>
  <c r="G8" i="21"/>
  <c r="G13" i="21"/>
  <c r="G17" i="21"/>
  <c r="F8" i="21"/>
  <c r="F13" i="21"/>
  <c r="F17" i="21"/>
  <c r="E8" i="21"/>
  <c r="E13" i="21"/>
  <c r="E17" i="21"/>
  <c r="D8" i="21"/>
  <c r="D13" i="21"/>
  <c r="D17" i="21"/>
  <c r="C8" i="21"/>
  <c r="C13" i="21"/>
  <c r="C17" i="21"/>
  <c r="B8" i="21"/>
  <c r="B13" i="21"/>
  <c r="B17" i="21"/>
  <c r="AI7" i="21"/>
  <c r="AI16" i="21"/>
  <c r="AH7" i="21"/>
  <c r="AH16" i="21"/>
  <c r="AG7" i="21"/>
  <c r="AG16" i="21"/>
  <c r="AF7" i="21"/>
  <c r="AF16" i="21"/>
  <c r="AE7" i="21"/>
  <c r="AE16" i="21"/>
  <c r="AD7" i="21"/>
  <c r="AD16" i="21"/>
  <c r="AC7" i="21"/>
  <c r="AC16" i="21"/>
  <c r="AB7" i="21"/>
  <c r="AB16" i="21"/>
  <c r="AA7" i="21"/>
  <c r="AA16" i="21"/>
  <c r="Z7" i="21"/>
  <c r="Z16" i="21"/>
  <c r="Y7" i="21"/>
  <c r="Y16" i="21"/>
  <c r="X7" i="21"/>
  <c r="X16" i="21"/>
  <c r="W7" i="21"/>
  <c r="W16" i="21"/>
  <c r="V7" i="21"/>
  <c r="V16" i="21"/>
  <c r="U7" i="21"/>
  <c r="U16" i="21"/>
  <c r="T7" i="21"/>
  <c r="T16" i="21"/>
  <c r="S7" i="21"/>
  <c r="S16" i="21"/>
  <c r="R7" i="21"/>
  <c r="R16" i="21"/>
  <c r="Q7" i="21"/>
  <c r="Q16" i="21"/>
  <c r="P7" i="21"/>
  <c r="P16" i="21"/>
  <c r="O7" i="21"/>
  <c r="O16" i="21"/>
  <c r="N7" i="21"/>
  <c r="N16" i="21"/>
  <c r="M7" i="21"/>
  <c r="M16" i="21"/>
  <c r="L7" i="21"/>
  <c r="L16" i="21"/>
  <c r="K7" i="21"/>
  <c r="K16" i="21"/>
  <c r="J7" i="21"/>
  <c r="J16" i="21"/>
  <c r="I7" i="21"/>
  <c r="I16" i="21"/>
  <c r="H7" i="21"/>
  <c r="H16" i="21"/>
  <c r="G7" i="21"/>
  <c r="G16" i="21"/>
  <c r="F7" i="21"/>
  <c r="F16" i="21"/>
  <c r="E7" i="21"/>
  <c r="E16" i="21"/>
  <c r="D7" i="21"/>
  <c r="D16" i="21"/>
  <c r="C7" i="21"/>
  <c r="C16" i="21"/>
  <c r="B7" i="21"/>
  <c r="B16" i="21"/>
  <c r="AK6" i="21"/>
  <c r="AK5" i="21"/>
  <c r="L51" i="17"/>
  <c r="L25" i="17"/>
  <c r="M48" i="17"/>
  <c r="M42" i="17"/>
  <c r="M43" i="17"/>
  <c r="M44" i="17"/>
  <c r="M45" i="17"/>
  <c r="M46" i="17"/>
  <c r="M47" i="17"/>
  <c r="M41" i="17"/>
  <c r="M22" i="17"/>
  <c r="N15" i="17"/>
  <c r="M16" i="17"/>
  <c r="M17" i="17"/>
  <c r="M18" i="17"/>
  <c r="M19" i="17"/>
  <c r="M20" i="17"/>
  <c r="M21" i="17"/>
  <c r="M15" i="17"/>
  <c r="L23" i="17"/>
  <c r="L6" i="17"/>
  <c r="L16" i="17"/>
  <c r="L5" i="17"/>
  <c r="L15" i="17"/>
  <c r="L7" i="17"/>
  <c r="L17" i="17"/>
  <c r="L8" i="17"/>
  <c r="L18" i="17"/>
  <c r="L9" i="17"/>
  <c r="L19" i="17"/>
  <c r="L10" i="17"/>
  <c r="L20" i="17"/>
  <c r="L11" i="17"/>
  <c r="L21" i="17"/>
  <c r="L22" i="17"/>
  <c r="L24" i="17"/>
  <c r="N16" i="17"/>
  <c r="N17" i="17"/>
  <c r="N18" i="17"/>
  <c r="N19" i="17"/>
  <c r="N20" i="17"/>
  <c r="N21" i="17"/>
  <c r="L47" i="17"/>
  <c r="L29" i="17"/>
  <c r="L41" i="17"/>
  <c r="L30" i="17"/>
  <c r="L42" i="17"/>
  <c r="L31" i="17"/>
  <c r="L43" i="17"/>
  <c r="L32" i="17"/>
  <c r="L44" i="17"/>
  <c r="L33" i="17"/>
  <c r="L45" i="17"/>
  <c r="L46" i="17"/>
  <c r="L50" i="17"/>
  <c r="N42" i="17"/>
  <c r="N43" i="17"/>
  <c r="N44" i="17"/>
  <c r="N45" i="17"/>
  <c r="N46" i="17"/>
  <c r="N47" i="17"/>
  <c r="N41" i="17"/>
  <c r="L36" i="17"/>
  <c r="L48" i="17"/>
  <c r="C6" i="17"/>
  <c r="D6" i="17"/>
  <c r="E6" i="17"/>
  <c r="F6" i="17"/>
  <c r="G6" i="17"/>
  <c r="H6" i="17"/>
  <c r="I6" i="17"/>
  <c r="C12" i="17"/>
  <c r="C14" i="17"/>
  <c r="D12" i="17"/>
  <c r="D14" i="17"/>
  <c r="E12" i="17"/>
  <c r="E14" i="17"/>
  <c r="F12" i="17"/>
  <c r="F14" i="17"/>
  <c r="G12" i="17"/>
  <c r="G14" i="17"/>
  <c r="H12" i="17"/>
  <c r="H14" i="17"/>
  <c r="I14" i="17"/>
  <c r="I15" i="17"/>
  <c r="C19" i="17"/>
  <c r="C20" i="17"/>
  <c r="C21" i="17"/>
  <c r="C22" i="17"/>
  <c r="C23" i="17"/>
  <c r="C24" i="17"/>
  <c r="C33" i="17"/>
  <c r="D19" i="17"/>
  <c r="D20" i="17"/>
  <c r="D21" i="17"/>
  <c r="D22" i="17"/>
  <c r="D23" i="17"/>
  <c r="D24" i="17"/>
  <c r="D33" i="17"/>
  <c r="E19" i="17"/>
  <c r="E20" i="17"/>
  <c r="E21" i="17"/>
  <c r="E22" i="17"/>
  <c r="E23" i="17"/>
  <c r="E24" i="17"/>
  <c r="E33" i="17"/>
  <c r="F19" i="17"/>
  <c r="F20" i="17"/>
  <c r="F21" i="17"/>
  <c r="F22" i="17"/>
  <c r="F23" i="17"/>
  <c r="F24" i="17"/>
  <c r="F33" i="17"/>
  <c r="G19" i="17"/>
  <c r="G20" i="17"/>
  <c r="G21" i="17"/>
  <c r="G22" i="17"/>
  <c r="G23" i="17"/>
  <c r="G24" i="17"/>
  <c r="G33" i="17"/>
  <c r="H19" i="17"/>
  <c r="H20" i="17"/>
  <c r="H21" i="17"/>
  <c r="H22" i="17"/>
  <c r="H23" i="17"/>
  <c r="H24" i="17"/>
  <c r="H33" i="17"/>
  <c r="I33" i="17"/>
  <c r="C27" i="17"/>
  <c r="D27" i="17"/>
  <c r="E27" i="17"/>
  <c r="F27" i="17"/>
  <c r="G27" i="17"/>
  <c r="H27" i="17"/>
  <c r="I27" i="17"/>
  <c r="I34" i="17"/>
  <c r="C7" i="17"/>
  <c r="C28" i="17"/>
  <c r="D7" i="17"/>
  <c r="D28" i="17"/>
  <c r="E7" i="17"/>
  <c r="E28" i="17"/>
  <c r="F7" i="17"/>
  <c r="F28" i="17"/>
  <c r="G7" i="17"/>
  <c r="G28" i="17"/>
  <c r="H7" i="17"/>
  <c r="H28" i="17"/>
  <c r="I28" i="17"/>
  <c r="C8" i="17"/>
  <c r="C29" i="17"/>
  <c r="D8" i="17"/>
  <c r="D29" i="17"/>
  <c r="E8" i="17"/>
  <c r="E29" i="17"/>
  <c r="F8" i="17"/>
  <c r="F29" i="17"/>
  <c r="G8" i="17"/>
  <c r="G29" i="17"/>
  <c r="H8" i="17"/>
  <c r="H29" i="17"/>
  <c r="I29" i="17"/>
  <c r="C9" i="17"/>
  <c r="C30" i="17"/>
  <c r="D9" i="17"/>
  <c r="D30" i="17"/>
  <c r="E9" i="17"/>
  <c r="E30" i="17"/>
  <c r="F9" i="17"/>
  <c r="F30" i="17"/>
  <c r="G9" i="17"/>
  <c r="G30" i="17"/>
  <c r="H9" i="17"/>
  <c r="H30" i="17"/>
  <c r="I30" i="17"/>
  <c r="C10" i="17"/>
  <c r="C31" i="17"/>
  <c r="D10" i="17"/>
  <c r="D31" i="17"/>
  <c r="E10" i="17"/>
  <c r="E31" i="17"/>
  <c r="F10" i="17"/>
  <c r="F31" i="17"/>
  <c r="G10" i="17"/>
  <c r="G31" i="17"/>
  <c r="H10" i="17"/>
  <c r="H31" i="17"/>
  <c r="I31" i="17"/>
  <c r="C11" i="17"/>
  <c r="C32" i="17"/>
  <c r="D11" i="17"/>
  <c r="D32" i="17"/>
  <c r="E11" i="17"/>
  <c r="E32" i="17"/>
  <c r="F11" i="17"/>
  <c r="F32" i="17"/>
  <c r="G11" i="17"/>
  <c r="G32" i="17"/>
  <c r="H11" i="17"/>
  <c r="H32" i="17"/>
  <c r="I32" i="17"/>
  <c r="I20" i="17"/>
  <c r="I21" i="17"/>
  <c r="I22" i="17"/>
  <c r="I23" i="17"/>
  <c r="I24" i="17"/>
  <c r="I19" i="17"/>
  <c r="I7" i="17"/>
  <c r="I8" i="17"/>
  <c r="I9" i="17"/>
  <c r="I10" i="17"/>
  <c r="I11" i="17"/>
  <c r="I12" i="17"/>
  <c r="I13" i="17"/>
  <c r="L49" i="17"/>
  <c r="L37" i="17"/>
  <c r="M30" i="17"/>
  <c r="M31" i="17"/>
  <c r="M32" i="17"/>
  <c r="M33" i="17"/>
  <c r="M34" i="17"/>
  <c r="M35" i="17"/>
  <c r="M36" i="17"/>
  <c r="M37" i="17"/>
  <c r="M29" i="17"/>
  <c r="F43" i="17"/>
  <c r="D43" i="17"/>
  <c r="D44" i="17"/>
  <c r="D45" i="17"/>
  <c r="D46" i="17"/>
  <c r="E43" i="17"/>
  <c r="E44" i="17"/>
  <c r="E45" i="17"/>
  <c r="E46" i="17"/>
  <c r="F44" i="17"/>
  <c r="F45" i="17"/>
  <c r="F46" i="17"/>
  <c r="G43" i="17"/>
  <c r="G44" i="17"/>
  <c r="G45" i="17"/>
  <c r="G46" i="17"/>
  <c r="H43" i="17"/>
  <c r="H44" i="17"/>
  <c r="H45" i="17"/>
  <c r="H46" i="17"/>
  <c r="C43" i="17"/>
  <c r="C44" i="17"/>
  <c r="C45" i="17"/>
  <c r="C46" i="17"/>
  <c r="E4" i="19"/>
  <c r="E8" i="19"/>
  <c r="E11" i="19"/>
  <c r="E13" i="19"/>
  <c r="E15" i="19"/>
  <c r="E17" i="19"/>
  <c r="D4" i="19"/>
  <c r="D8" i="19"/>
  <c r="D13" i="19"/>
  <c r="D15" i="19"/>
  <c r="D17" i="19"/>
  <c r="W20" i="13"/>
  <c r="W19" i="13"/>
  <c r="U19" i="13"/>
  <c r="K23" i="13"/>
  <c r="K22" i="13"/>
  <c r="K21" i="13"/>
  <c r="M22" i="13"/>
  <c r="K20" i="13"/>
  <c r="M21" i="13"/>
  <c r="K19" i="13"/>
  <c r="M20" i="13"/>
  <c r="O23" i="13"/>
  <c r="O24" i="13"/>
  <c r="O22" i="13"/>
  <c r="D15" i="17"/>
  <c r="E15" i="17"/>
  <c r="F15" i="17"/>
  <c r="G15" i="17"/>
  <c r="H15" i="17"/>
  <c r="C15" i="17"/>
  <c r="O21" i="13"/>
  <c r="G78" i="18"/>
  <c r="G81" i="18"/>
  <c r="G87" i="18"/>
  <c r="G88" i="18"/>
  <c r="G89" i="18"/>
  <c r="G96" i="18"/>
  <c r="G99" i="18"/>
  <c r="G100" i="18"/>
  <c r="G107" i="18"/>
  <c r="G110" i="18"/>
  <c r="G114" i="18"/>
  <c r="G115" i="18"/>
  <c r="G118" i="18"/>
  <c r="G119" i="18"/>
  <c r="G120" i="18"/>
  <c r="G121" i="18"/>
  <c r="G122" i="18"/>
  <c r="G27" i="18"/>
  <c r="G34" i="18"/>
  <c r="G40" i="18"/>
  <c r="G45" i="18"/>
  <c r="G46" i="18"/>
  <c r="G47" i="18"/>
  <c r="G53" i="18"/>
  <c r="G57" i="18"/>
  <c r="G61" i="18"/>
  <c r="G62" i="18"/>
  <c r="G67" i="18"/>
  <c r="G68" i="18"/>
  <c r="H34" i="17"/>
  <c r="H38" i="17"/>
  <c r="G34" i="17"/>
  <c r="G38" i="17"/>
  <c r="F34" i="17"/>
  <c r="F38" i="17"/>
  <c r="E34" i="17"/>
  <c r="E38" i="17"/>
  <c r="D34" i="17"/>
  <c r="D38" i="17"/>
  <c r="C34" i="17"/>
  <c r="C38" i="17"/>
  <c r="H14" i="16"/>
  <c r="H21" i="16"/>
  <c r="H30" i="16"/>
  <c r="H39" i="16"/>
  <c r="H46" i="16"/>
  <c r="H55" i="16"/>
  <c r="H60" i="16"/>
  <c r="H66" i="16"/>
  <c r="H82" i="16"/>
  <c r="H84" i="16"/>
  <c r="H86" i="16"/>
  <c r="H87" i="16"/>
  <c r="H91" i="16"/>
  <c r="H92" i="16"/>
  <c r="H93" i="16"/>
  <c r="I93" i="16"/>
  <c r="J14" i="16"/>
  <c r="J21" i="16"/>
  <c r="J30" i="16"/>
  <c r="J39" i="16"/>
  <c r="J46" i="16"/>
  <c r="J55" i="16"/>
  <c r="J60" i="16"/>
  <c r="J66" i="16"/>
  <c r="J82" i="16"/>
  <c r="J84" i="16"/>
  <c r="J86" i="16"/>
  <c r="J87" i="16"/>
  <c r="J91" i="16"/>
  <c r="J92" i="16"/>
  <c r="J93" i="16"/>
  <c r="K14" i="16"/>
  <c r="K21" i="16"/>
  <c r="K30" i="16"/>
  <c r="K39" i="16"/>
  <c r="K46" i="16"/>
  <c r="K55" i="16"/>
  <c r="K60" i="16"/>
  <c r="K66" i="16"/>
  <c r="K82" i="16"/>
  <c r="K84" i="16"/>
  <c r="K86" i="16"/>
  <c r="K87" i="16"/>
  <c r="K91" i="16"/>
  <c r="K92" i="16"/>
  <c r="K93" i="16"/>
  <c r="L14" i="16"/>
  <c r="L21" i="16"/>
  <c r="L30" i="16"/>
  <c r="L39" i="16"/>
  <c r="L46" i="16"/>
  <c r="L55" i="16"/>
  <c r="L60" i="16"/>
  <c r="L66" i="16"/>
  <c r="L82" i="16"/>
  <c r="L84" i="16"/>
  <c r="L86" i="16"/>
  <c r="L87" i="16"/>
  <c r="L91" i="16"/>
  <c r="L92" i="16"/>
  <c r="L93" i="16"/>
  <c r="M93" i="16"/>
  <c r="N14" i="16"/>
  <c r="N21" i="16"/>
  <c r="N30" i="16"/>
  <c r="N39" i="16"/>
  <c r="N46" i="16"/>
  <c r="N55" i="16"/>
  <c r="N60" i="16"/>
  <c r="N66" i="16"/>
  <c r="N82" i="16"/>
  <c r="N84" i="16"/>
  <c r="N86" i="16"/>
  <c r="N87" i="16"/>
  <c r="N91" i="16"/>
  <c r="N92" i="16"/>
  <c r="N93" i="16"/>
  <c r="O14" i="16"/>
  <c r="O21" i="16"/>
  <c r="O30" i="16"/>
  <c r="O39" i="16"/>
  <c r="O46" i="16"/>
  <c r="O55" i="16"/>
  <c r="O60" i="16"/>
  <c r="O66" i="16"/>
  <c r="O82" i="16"/>
  <c r="O84" i="16"/>
  <c r="O86" i="16"/>
  <c r="O87" i="16"/>
  <c r="O91" i="16"/>
  <c r="O92" i="16"/>
  <c r="O93" i="16"/>
  <c r="P93" i="16"/>
  <c r="Q14" i="16"/>
  <c r="Q21" i="16"/>
  <c r="Q30" i="16"/>
  <c r="Q39" i="16"/>
  <c r="Q46" i="16"/>
  <c r="Q55" i="16"/>
  <c r="Q60" i="16"/>
  <c r="Q66" i="16"/>
  <c r="Q82" i="16"/>
  <c r="Q84" i="16"/>
  <c r="Q86" i="16"/>
  <c r="Q87" i="16"/>
  <c r="Q93" i="16"/>
  <c r="R93" i="16"/>
  <c r="S93" i="16"/>
  <c r="I92" i="16"/>
  <c r="M92" i="16"/>
  <c r="P92" i="16"/>
  <c r="R92" i="16"/>
  <c r="S92" i="16"/>
  <c r="I91" i="16"/>
  <c r="M91" i="16"/>
  <c r="P91" i="16"/>
  <c r="R91" i="16"/>
  <c r="S91" i="16"/>
  <c r="I90" i="16"/>
  <c r="M90" i="16"/>
  <c r="P90" i="16"/>
  <c r="R90" i="16"/>
  <c r="S90" i="16"/>
  <c r="I87" i="16"/>
  <c r="M87" i="16"/>
  <c r="P87" i="16"/>
  <c r="R87" i="16"/>
  <c r="S87" i="16"/>
  <c r="I86" i="16"/>
  <c r="M86" i="16"/>
  <c r="P86" i="16"/>
  <c r="R86" i="16"/>
  <c r="S86" i="16"/>
  <c r="M85" i="16"/>
  <c r="R85" i="16"/>
  <c r="S85" i="16"/>
  <c r="I84" i="16"/>
  <c r="M84" i="16"/>
  <c r="P84" i="16"/>
  <c r="R84" i="16"/>
  <c r="S84" i="16"/>
  <c r="I83" i="16"/>
  <c r="M83" i="16"/>
  <c r="P83" i="16"/>
  <c r="R83" i="16"/>
  <c r="S83" i="16"/>
  <c r="I82" i="16"/>
  <c r="M82" i="16"/>
  <c r="P82" i="16"/>
  <c r="R82" i="16"/>
  <c r="S82" i="16"/>
  <c r="I81" i="16"/>
  <c r="M81" i="16"/>
  <c r="P81" i="16"/>
  <c r="R81" i="16"/>
  <c r="S81" i="16"/>
  <c r="M80" i="16"/>
  <c r="R80" i="16"/>
  <c r="S80" i="16"/>
  <c r="I79" i="16"/>
  <c r="M79" i="16"/>
  <c r="P79" i="16"/>
  <c r="R79" i="16"/>
  <c r="S79" i="16"/>
  <c r="M78" i="16"/>
  <c r="P78" i="16"/>
  <c r="R78" i="16"/>
  <c r="S78" i="16"/>
  <c r="I77" i="16"/>
  <c r="M77" i="16"/>
  <c r="P77" i="16"/>
  <c r="R77" i="16"/>
  <c r="S77" i="16"/>
  <c r="I76" i="16"/>
  <c r="M76" i="16"/>
  <c r="P76" i="16"/>
  <c r="R76" i="16"/>
  <c r="S76" i="16"/>
  <c r="P75" i="16"/>
  <c r="R75" i="16"/>
  <c r="S75" i="16"/>
  <c r="I74" i="16"/>
  <c r="M74" i="16"/>
  <c r="R74" i="16"/>
  <c r="S74" i="16"/>
  <c r="I73" i="16"/>
  <c r="M73" i="16"/>
  <c r="P73" i="16"/>
  <c r="R73" i="16"/>
  <c r="S73" i="16"/>
  <c r="I72" i="16"/>
  <c r="M72" i="16"/>
  <c r="P72" i="16"/>
  <c r="R72" i="16"/>
  <c r="S72" i="16"/>
  <c r="I71" i="16"/>
  <c r="M71" i="16"/>
  <c r="P71" i="16"/>
  <c r="R71" i="16"/>
  <c r="S71" i="16"/>
  <c r="I70" i="16"/>
  <c r="M70" i="16"/>
  <c r="P70" i="16"/>
  <c r="R70" i="16"/>
  <c r="S70" i="16"/>
  <c r="I69" i="16"/>
  <c r="M69" i="16"/>
  <c r="P69" i="16"/>
  <c r="R69" i="16"/>
  <c r="S69" i="16"/>
  <c r="I68" i="16"/>
  <c r="M68" i="16"/>
  <c r="P68" i="16"/>
  <c r="R68" i="16"/>
  <c r="S68" i="16"/>
  <c r="I66" i="16"/>
  <c r="M66" i="16"/>
  <c r="P66" i="16"/>
  <c r="R66" i="16"/>
  <c r="S66" i="16"/>
  <c r="I65" i="16"/>
  <c r="M65" i="16"/>
  <c r="P65" i="16"/>
  <c r="R65" i="16"/>
  <c r="S65" i="16"/>
  <c r="I64" i="16"/>
  <c r="M64" i="16"/>
  <c r="P64" i="16"/>
  <c r="R64" i="16"/>
  <c r="S64" i="16"/>
  <c r="I63" i="16"/>
  <c r="M63" i="16"/>
  <c r="P63" i="16"/>
  <c r="R63" i="16"/>
  <c r="S63" i="16"/>
  <c r="I62" i="16"/>
  <c r="M62" i="16"/>
  <c r="P62" i="16"/>
  <c r="R62" i="16"/>
  <c r="S62" i="16"/>
  <c r="I60" i="16"/>
  <c r="M60" i="16"/>
  <c r="P60" i="16"/>
  <c r="R60" i="16"/>
  <c r="S60" i="16"/>
  <c r="I59" i="16"/>
  <c r="M59" i="16"/>
  <c r="P59" i="16"/>
  <c r="R59" i="16"/>
  <c r="S59" i="16"/>
  <c r="I58" i="16"/>
  <c r="M58" i="16"/>
  <c r="P58" i="16"/>
  <c r="R58" i="16"/>
  <c r="S58" i="16"/>
  <c r="I57" i="16"/>
  <c r="M57" i="16"/>
  <c r="P57" i="16"/>
  <c r="R57" i="16"/>
  <c r="S57" i="16"/>
  <c r="I55" i="16"/>
  <c r="M55" i="16"/>
  <c r="P55" i="16"/>
  <c r="R55" i="16"/>
  <c r="S55" i="16"/>
  <c r="I54" i="16"/>
  <c r="M54" i="16"/>
  <c r="P54" i="16"/>
  <c r="R54" i="16"/>
  <c r="S54" i="16"/>
  <c r="I53" i="16"/>
  <c r="M53" i="16"/>
  <c r="P53" i="16"/>
  <c r="R53" i="16"/>
  <c r="S53" i="16"/>
  <c r="I52" i="16"/>
  <c r="M52" i="16"/>
  <c r="P52" i="16"/>
  <c r="R52" i="16"/>
  <c r="S52" i="16"/>
  <c r="I51" i="16"/>
  <c r="M51" i="16"/>
  <c r="P51" i="16"/>
  <c r="R51" i="16"/>
  <c r="S51" i="16"/>
  <c r="I50" i="16"/>
  <c r="M50" i="16"/>
  <c r="P50" i="16"/>
  <c r="R50" i="16"/>
  <c r="S50" i="16"/>
  <c r="I49" i="16"/>
  <c r="M49" i="16"/>
  <c r="P49" i="16"/>
  <c r="R49" i="16"/>
  <c r="S49" i="16"/>
  <c r="I47" i="16"/>
  <c r="M47" i="16"/>
  <c r="P47" i="16"/>
  <c r="R47" i="16"/>
  <c r="S47" i="16"/>
  <c r="I46" i="16"/>
  <c r="M46" i="16"/>
  <c r="P46" i="16"/>
  <c r="R46" i="16"/>
  <c r="S46" i="16"/>
  <c r="I45" i="16"/>
  <c r="M45" i="16"/>
  <c r="P45" i="16"/>
  <c r="R45" i="16"/>
  <c r="S45" i="16"/>
  <c r="I44" i="16"/>
  <c r="M44" i="16"/>
  <c r="P44" i="16"/>
  <c r="R44" i="16"/>
  <c r="S44" i="16"/>
  <c r="I43" i="16"/>
  <c r="M43" i="16"/>
  <c r="P43" i="16"/>
  <c r="R43" i="16"/>
  <c r="S43" i="16"/>
  <c r="I42" i="16"/>
  <c r="M42" i="16"/>
  <c r="P42" i="16"/>
  <c r="R42" i="16"/>
  <c r="S42" i="16"/>
  <c r="I39" i="16"/>
  <c r="M39" i="16"/>
  <c r="P39" i="16"/>
  <c r="R39" i="16"/>
  <c r="S39" i="16"/>
  <c r="I38" i="16"/>
  <c r="M38" i="16"/>
  <c r="P38" i="16"/>
  <c r="R38" i="16"/>
  <c r="S38" i="16"/>
  <c r="I37" i="16"/>
  <c r="M37" i="16"/>
  <c r="P37" i="16"/>
  <c r="R37" i="16"/>
  <c r="S37" i="16"/>
  <c r="I36" i="16"/>
  <c r="M36" i="16"/>
  <c r="P36" i="16"/>
  <c r="R36" i="16"/>
  <c r="S36" i="16"/>
  <c r="I35" i="16"/>
  <c r="M35" i="16"/>
  <c r="P35" i="16"/>
  <c r="R35" i="16"/>
  <c r="S35" i="16"/>
  <c r="I34" i="16"/>
  <c r="M34" i="16"/>
  <c r="P34" i="16"/>
  <c r="R34" i="16"/>
  <c r="S34" i="16"/>
  <c r="I33" i="16"/>
  <c r="M33" i="16"/>
  <c r="P33" i="16"/>
  <c r="R33" i="16"/>
  <c r="S33" i="16"/>
  <c r="M32" i="16"/>
  <c r="R32" i="16"/>
  <c r="S32" i="16"/>
  <c r="I30" i="16"/>
  <c r="M30" i="16"/>
  <c r="P30" i="16"/>
  <c r="R30" i="16"/>
  <c r="S30" i="16"/>
  <c r="I29" i="16"/>
  <c r="M29" i="16"/>
  <c r="P29" i="16"/>
  <c r="R29" i="16"/>
  <c r="S29" i="16"/>
  <c r="I28" i="16"/>
  <c r="M28" i="16"/>
  <c r="P28" i="16"/>
  <c r="R28" i="16"/>
  <c r="S28" i="16"/>
  <c r="I27" i="16"/>
  <c r="M27" i="16"/>
  <c r="P27" i="16"/>
  <c r="R27" i="16"/>
  <c r="S27" i="16"/>
  <c r="I26" i="16"/>
  <c r="M26" i="16"/>
  <c r="P26" i="16"/>
  <c r="R26" i="16"/>
  <c r="S26" i="16"/>
  <c r="I25" i="16"/>
  <c r="M25" i="16"/>
  <c r="P25" i="16"/>
  <c r="R25" i="16"/>
  <c r="S25" i="16"/>
  <c r="I24" i="16"/>
  <c r="M24" i="16"/>
  <c r="P24" i="16"/>
  <c r="R24" i="16"/>
  <c r="S24" i="16"/>
  <c r="M23" i="16"/>
  <c r="R23" i="16"/>
  <c r="S23" i="16"/>
  <c r="I21" i="16"/>
  <c r="M21" i="16"/>
  <c r="P21" i="16"/>
  <c r="R21" i="16"/>
  <c r="S21" i="16"/>
  <c r="P20" i="16"/>
  <c r="R20" i="16"/>
  <c r="S20" i="16"/>
  <c r="M19" i="16"/>
  <c r="R19" i="16"/>
  <c r="S19" i="16"/>
  <c r="I18" i="16"/>
  <c r="M18" i="16"/>
  <c r="P18" i="16"/>
  <c r="R18" i="16"/>
  <c r="S18" i="16"/>
  <c r="I17" i="16"/>
  <c r="M17" i="16"/>
  <c r="P17" i="16"/>
  <c r="R17" i="16"/>
  <c r="S17" i="16"/>
  <c r="M16" i="16"/>
  <c r="R16" i="16"/>
  <c r="S16" i="16"/>
  <c r="I14" i="16"/>
  <c r="M14" i="16"/>
  <c r="P14" i="16"/>
  <c r="R14" i="16"/>
  <c r="S14" i="16"/>
  <c r="I13" i="16"/>
  <c r="M13" i="16"/>
  <c r="P13" i="16"/>
  <c r="R13" i="16"/>
  <c r="S13" i="16"/>
  <c r="M12" i="16"/>
  <c r="R12" i="16"/>
  <c r="S12" i="16"/>
  <c r="I11" i="16"/>
  <c r="M11" i="16"/>
  <c r="P11" i="16"/>
  <c r="R11" i="16"/>
  <c r="S11" i="16"/>
  <c r="M10" i="16"/>
  <c r="R10" i="16"/>
  <c r="S10" i="16"/>
  <c r="H14" i="14"/>
  <c r="H22" i="14"/>
  <c r="H32" i="14"/>
  <c r="H33" i="14"/>
  <c r="H41" i="14"/>
  <c r="H48" i="14"/>
  <c r="H57" i="14"/>
  <c r="H62" i="14"/>
  <c r="H69" i="14"/>
  <c r="H85" i="14"/>
  <c r="H87" i="14"/>
  <c r="H93" i="14"/>
  <c r="H94" i="14"/>
  <c r="H100" i="14"/>
  <c r="H101" i="14"/>
  <c r="H106" i="14"/>
  <c r="H107" i="14"/>
  <c r="H108" i="14"/>
  <c r="J14" i="14"/>
  <c r="J22" i="14"/>
  <c r="J32" i="14"/>
  <c r="J33" i="14"/>
  <c r="J41" i="14"/>
  <c r="J48" i="14"/>
  <c r="J57" i="14"/>
  <c r="J62" i="14"/>
  <c r="J69" i="14"/>
  <c r="J85" i="14"/>
  <c r="J87" i="14"/>
  <c r="J93" i="14"/>
  <c r="J94" i="14"/>
  <c r="J100" i="14"/>
  <c r="J101" i="14"/>
  <c r="J106" i="14"/>
  <c r="J107" i="14"/>
  <c r="J108" i="14"/>
  <c r="L14" i="14"/>
  <c r="L22" i="14"/>
  <c r="L32" i="14"/>
  <c r="L33" i="14"/>
  <c r="L41" i="14"/>
  <c r="L48" i="14"/>
  <c r="L57" i="14"/>
  <c r="L62" i="14"/>
  <c r="L69" i="14"/>
  <c r="L85" i="14"/>
  <c r="L87" i="14"/>
  <c r="L93" i="14"/>
  <c r="L94" i="14"/>
  <c r="L100" i="14"/>
  <c r="L101" i="14"/>
  <c r="L106" i="14"/>
  <c r="L107" i="14"/>
  <c r="L108" i="14"/>
  <c r="N14" i="14"/>
  <c r="N22" i="14"/>
  <c r="N32" i="14"/>
  <c r="N33" i="14"/>
  <c r="N41" i="14"/>
  <c r="N48" i="14"/>
  <c r="N57" i="14"/>
  <c r="N62" i="14"/>
  <c r="N69" i="14"/>
  <c r="N85" i="14"/>
  <c r="N87" i="14"/>
  <c r="N93" i="14"/>
  <c r="N94" i="14"/>
  <c r="N100" i="14"/>
  <c r="N101" i="14"/>
  <c r="N106" i="14"/>
  <c r="N107" i="14"/>
  <c r="N108" i="14"/>
  <c r="P14" i="14"/>
  <c r="P22" i="14"/>
  <c r="P32" i="14"/>
  <c r="P33" i="14"/>
  <c r="P41" i="14"/>
  <c r="P48" i="14"/>
  <c r="P57" i="14"/>
  <c r="P62" i="14"/>
  <c r="P69" i="14"/>
  <c r="P85" i="14"/>
  <c r="P87" i="14"/>
  <c r="P93" i="14"/>
  <c r="P94" i="14"/>
  <c r="P100" i="14"/>
  <c r="P101" i="14"/>
  <c r="P106" i="14"/>
  <c r="P107" i="14"/>
  <c r="P108" i="14"/>
  <c r="R14" i="14"/>
  <c r="R22" i="14"/>
  <c r="R32" i="14"/>
  <c r="R33" i="14"/>
  <c r="R41" i="14"/>
  <c r="R48" i="14"/>
  <c r="R57" i="14"/>
  <c r="R62" i="14"/>
  <c r="R69" i="14"/>
  <c r="R85" i="14"/>
  <c r="R87" i="14"/>
  <c r="R93" i="14"/>
  <c r="R94" i="14"/>
  <c r="R100" i="14"/>
  <c r="R101" i="14"/>
  <c r="R106" i="14"/>
  <c r="R107" i="14"/>
  <c r="R108" i="14"/>
  <c r="T108" i="14"/>
  <c r="V14" i="14"/>
  <c r="V22" i="14"/>
  <c r="V32" i="14"/>
  <c r="V33" i="14"/>
  <c r="V41" i="14"/>
  <c r="V48" i="14"/>
  <c r="V57" i="14"/>
  <c r="V62" i="14"/>
  <c r="V69" i="14"/>
  <c r="V85" i="14"/>
  <c r="V87" i="14"/>
  <c r="V93" i="14"/>
  <c r="V94" i="14"/>
  <c r="V100" i="14"/>
  <c r="V101" i="14"/>
  <c r="V106" i="14"/>
  <c r="V107" i="14"/>
  <c r="V108" i="14"/>
  <c r="X14" i="14"/>
  <c r="X22" i="14"/>
  <c r="X32" i="14"/>
  <c r="X33" i="14"/>
  <c r="X41" i="14"/>
  <c r="X48" i="14"/>
  <c r="X57" i="14"/>
  <c r="X62" i="14"/>
  <c r="X69" i="14"/>
  <c r="X85" i="14"/>
  <c r="X87" i="14"/>
  <c r="X93" i="14"/>
  <c r="X94" i="14"/>
  <c r="X100" i="14"/>
  <c r="X101" i="14"/>
  <c r="X106" i="14"/>
  <c r="X107" i="14"/>
  <c r="X108" i="14"/>
  <c r="Z14" i="14"/>
  <c r="Z22" i="14"/>
  <c r="Z32" i="14"/>
  <c r="Z33" i="14"/>
  <c r="Z41" i="14"/>
  <c r="Z48" i="14"/>
  <c r="Z57" i="14"/>
  <c r="Z62" i="14"/>
  <c r="Z69" i="14"/>
  <c r="Z85" i="14"/>
  <c r="Z87" i="14"/>
  <c r="Z93" i="14"/>
  <c r="Z94" i="14"/>
  <c r="Z100" i="14"/>
  <c r="Z101" i="14"/>
  <c r="Z106" i="14"/>
  <c r="Z107" i="14"/>
  <c r="Z108" i="14"/>
  <c r="AB14" i="14"/>
  <c r="AB22" i="14"/>
  <c r="AB32" i="14"/>
  <c r="AB33" i="14"/>
  <c r="AB41" i="14"/>
  <c r="AB48" i="14"/>
  <c r="AB57" i="14"/>
  <c r="AB62" i="14"/>
  <c r="AB69" i="14"/>
  <c r="AB85" i="14"/>
  <c r="AB87" i="14"/>
  <c r="AB93" i="14"/>
  <c r="AB94" i="14"/>
  <c r="AB100" i="14"/>
  <c r="AB101" i="14"/>
  <c r="AB106" i="14"/>
  <c r="AB107" i="14"/>
  <c r="AB108" i="14"/>
  <c r="AD14" i="14"/>
  <c r="AD22" i="14"/>
  <c r="AD32" i="14"/>
  <c r="AD33" i="14"/>
  <c r="AD41" i="14"/>
  <c r="AD48" i="14"/>
  <c r="AD57" i="14"/>
  <c r="AD62" i="14"/>
  <c r="AD69" i="14"/>
  <c r="AD85" i="14"/>
  <c r="AD87" i="14"/>
  <c r="AD93" i="14"/>
  <c r="AD94" i="14"/>
  <c r="AD100" i="14"/>
  <c r="AD101" i="14"/>
  <c r="AD106" i="14"/>
  <c r="AD107" i="14"/>
  <c r="AD108" i="14"/>
  <c r="AF14" i="14"/>
  <c r="AF22" i="14"/>
  <c r="AF32" i="14"/>
  <c r="AF33" i="14"/>
  <c r="AF41" i="14"/>
  <c r="AF48" i="14"/>
  <c r="AF57" i="14"/>
  <c r="AF62" i="14"/>
  <c r="AF69" i="14"/>
  <c r="AF85" i="14"/>
  <c r="AF87" i="14"/>
  <c r="AF93" i="14"/>
  <c r="AF94" i="14"/>
  <c r="AF100" i="14"/>
  <c r="AF101" i="14"/>
  <c r="AF106" i="14"/>
  <c r="AF107" i="14"/>
  <c r="AF108" i="14"/>
  <c r="AH14" i="14"/>
  <c r="AH22" i="14"/>
  <c r="AH32" i="14"/>
  <c r="AH33" i="14"/>
  <c r="AH41" i="14"/>
  <c r="AH48" i="14"/>
  <c r="AH57" i="14"/>
  <c r="AH62" i="14"/>
  <c r="AH69" i="14"/>
  <c r="AH85" i="14"/>
  <c r="AH87" i="14"/>
  <c r="AH93" i="14"/>
  <c r="AH94" i="14"/>
  <c r="AH100" i="14"/>
  <c r="AH101" i="14"/>
  <c r="AH106" i="14"/>
  <c r="AH107" i="14"/>
  <c r="AH108" i="14"/>
  <c r="AJ14" i="14"/>
  <c r="AJ22" i="14"/>
  <c r="AJ32" i="14"/>
  <c r="AJ33" i="14"/>
  <c r="AJ41" i="14"/>
  <c r="AJ48" i="14"/>
  <c r="AJ57" i="14"/>
  <c r="AJ62" i="14"/>
  <c r="AJ69" i="14"/>
  <c r="AJ85" i="14"/>
  <c r="AJ87" i="14"/>
  <c r="AJ93" i="14"/>
  <c r="AJ94" i="14"/>
  <c r="AJ100" i="14"/>
  <c r="AJ101" i="14"/>
  <c r="AJ106" i="14"/>
  <c r="AJ107" i="14"/>
  <c r="AJ108" i="14"/>
  <c r="AL14" i="14"/>
  <c r="AL22" i="14"/>
  <c r="AL32" i="14"/>
  <c r="AL33" i="14"/>
  <c r="AL41" i="14"/>
  <c r="AL48" i="14"/>
  <c r="AL57" i="14"/>
  <c r="AL62" i="14"/>
  <c r="AL69" i="14"/>
  <c r="AL85" i="14"/>
  <c r="AL87" i="14"/>
  <c r="AL93" i="14"/>
  <c r="AL94" i="14"/>
  <c r="AL100" i="14"/>
  <c r="AL101" i="14"/>
  <c r="AL106" i="14"/>
  <c r="AL107" i="14"/>
  <c r="AL108" i="14"/>
  <c r="AN108" i="14"/>
  <c r="AP14" i="14"/>
  <c r="AP22" i="14"/>
  <c r="AP32" i="14"/>
  <c r="AP33" i="14"/>
  <c r="AP41" i="14"/>
  <c r="AP48" i="14"/>
  <c r="AP57" i="14"/>
  <c r="AP62" i="14"/>
  <c r="AP69" i="14"/>
  <c r="AP85" i="14"/>
  <c r="AP87" i="14"/>
  <c r="AP93" i="14"/>
  <c r="AP94" i="14"/>
  <c r="AP100" i="14"/>
  <c r="AP101" i="14"/>
  <c r="AP106" i="14"/>
  <c r="AP107" i="14"/>
  <c r="AP108" i="14"/>
  <c r="AR14" i="14"/>
  <c r="AR22" i="14"/>
  <c r="AR32" i="14"/>
  <c r="AR33" i="14"/>
  <c r="AR41" i="14"/>
  <c r="AR48" i="14"/>
  <c r="AR57" i="14"/>
  <c r="AR62" i="14"/>
  <c r="AR69" i="14"/>
  <c r="AR85" i="14"/>
  <c r="AR87" i="14"/>
  <c r="AR93" i="14"/>
  <c r="AR94" i="14"/>
  <c r="AR100" i="14"/>
  <c r="AR101" i="14"/>
  <c r="AR106" i="14"/>
  <c r="AR107" i="14"/>
  <c r="AR108" i="14"/>
  <c r="AT108" i="14"/>
  <c r="AV14" i="14"/>
  <c r="AV22" i="14"/>
  <c r="AV32" i="14"/>
  <c r="AV33" i="14"/>
  <c r="AV41" i="14"/>
  <c r="AV48" i="14"/>
  <c r="AV57" i="14"/>
  <c r="AV62" i="14"/>
  <c r="AV69" i="14"/>
  <c r="AV85" i="14"/>
  <c r="AV87" i="14"/>
  <c r="AV93" i="14"/>
  <c r="AV94" i="14"/>
  <c r="AV100" i="14"/>
  <c r="AV101" i="14"/>
  <c r="AV106" i="14"/>
  <c r="AV107" i="14"/>
  <c r="AV108" i="14"/>
  <c r="AX14" i="14"/>
  <c r="AX22" i="14"/>
  <c r="AX32" i="14"/>
  <c r="AX33" i="14"/>
  <c r="AX41" i="14"/>
  <c r="AX48" i="14"/>
  <c r="AX57" i="14"/>
  <c r="AX62" i="14"/>
  <c r="AX69" i="14"/>
  <c r="AX85" i="14"/>
  <c r="AX87" i="14"/>
  <c r="AX93" i="14"/>
  <c r="AX94" i="14"/>
  <c r="AX100" i="14"/>
  <c r="AX101" i="14"/>
  <c r="AX106" i="14"/>
  <c r="AX107" i="14"/>
  <c r="AX108" i="14"/>
  <c r="AZ14" i="14"/>
  <c r="AZ22" i="14"/>
  <c r="AZ32" i="14"/>
  <c r="AZ33" i="14"/>
  <c r="AZ41" i="14"/>
  <c r="AZ48" i="14"/>
  <c r="AZ57" i="14"/>
  <c r="AZ62" i="14"/>
  <c r="AZ69" i="14"/>
  <c r="AZ85" i="14"/>
  <c r="AZ87" i="14"/>
  <c r="AZ93" i="14"/>
  <c r="AZ94" i="14"/>
  <c r="AZ100" i="14"/>
  <c r="AZ101" i="14"/>
  <c r="AZ106" i="14"/>
  <c r="AZ107" i="14"/>
  <c r="AZ108" i="14"/>
  <c r="BB14" i="14"/>
  <c r="BB22" i="14"/>
  <c r="BB32" i="14"/>
  <c r="BB33" i="14"/>
  <c r="BB41" i="14"/>
  <c r="BB48" i="14"/>
  <c r="BB57" i="14"/>
  <c r="BB62" i="14"/>
  <c r="BB69" i="14"/>
  <c r="BB85" i="14"/>
  <c r="BB87" i="14"/>
  <c r="BB93" i="14"/>
  <c r="BB94" i="14"/>
  <c r="BB100" i="14"/>
  <c r="BB101" i="14"/>
  <c r="BB106" i="14"/>
  <c r="BB107" i="14"/>
  <c r="BB108" i="14"/>
  <c r="BD14" i="14"/>
  <c r="BD22" i="14"/>
  <c r="BD32" i="14"/>
  <c r="BD33" i="14"/>
  <c r="BD41" i="14"/>
  <c r="BD48" i="14"/>
  <c r="BD57" i="14"/>
  <c r="BD62" i="14"/>
  <c r="BD69" i="14"/>
  <c r="BD85" i="14"/>
  <c r="BD87" i="14"/>
  <c r="BD93" i="14"/>
  <c r="BD94" i="14"/>
  <c r="BD100" i="14"/>
  <c r="BD101" i="14"/>
  <c r="BD106" i="14"/>
  <c r="BD107" i="14"/>
  <c r="BD108" i="14"/>
  <c r="BF14" i="14"/>
  <c r="BF22" i="14"/>
  <c r="BF32" i="14"/>
  <c r="BF33" i="14"/>
  <c r="BF41" i="14"/>
  <c r="BF48" i="14"/>
  <c r="BF57" i="14"/>
  <c r="BF62" i="14"/>
  <c r="BF69" i="14"/>
  <c r="BF85" i="14"/>
  <c r="BF87" i="14"/>
  <c r="BF93" i="14"/>
  <c r="BF94" i="14"/>
  <c r="BF100" i="14"/>
  <c r="BF101" i="14"/>
  <c r="BF106" i="14"/>
  <c r="BF107" i="14"/>
  <c r="BF108" i="14"/>
  <c r="BH108" i="14"/>
  <c r="BJ14" i="14"/>
  <c r="BJ22" i="14"/>
  <c r="BJ32" i="14"/>
  <c r="BJ33" i="14"/>
  <c r="BJ41" i="14"/>
  <c r="BJ48" i="14"/>
  <c r="BJ57" i="14"/>
  <c r="BJ62" i="14"/>
  <c r="BJ69" i="14"/>
  <c r="BJ85" i="14"/>
  <c r="BJ87" i="14"/>
  <c r="BJ93" i="14"/>
  <c r="BJ94" i="14"/>
  <c r="BJ100" i="14"/>
  <c r="BJ101" i="14"/>
  <c r="BJ106" i="14"/>
  <c r="BJ107" i="14"/>
  <c r="BJ108" i="14"/>
  <c r="BL108" i="14"/>
  <c r="BN14" i="14"/>
  <c r="BN22" i="14"/>
  <c r="BN32" i="14"/>
  <c r="BN33" i="14"/>
  <c r="BN41" i="14"/>
  <c r="BN48" i="14"/>
  <c r="BN57" i="14"/>
  <c r="BN62" i="14"/>
  <c r="BN69" i="14"/>
  <c r="BN85" i="14"/>
  <c r="BN87" i="14"/>
  <c r="BN93" i="14"/>
  <c r="BN94" i="14"/>
  <c r="BN100" i="14"/>
  <c r="BN101" i="14"/>
  <c r="BN106" i="14"/>
  <c r="BN107" i="14"/>
  <c r="BN108" i="14"/>
  <c r="BP14" i="14"/>
  <c r="BP22" i="14"/>
  <c r="BP32" i="14"/>
  <c r="BP33" i="14"/>
  <c r="BP41" i="14"/>
  <c r="BP48" i="14"/>
  <c r="BP57" i="14"/>
  <c r="BP62" i="14"/>
  <c r="BP69" i="14"/>
  <c r="BP85" i="14"/>
  <c r="BP87" i="14"/>
  <c r="BP93" i="14"/>
  <c r="BP94" i="14"/>
  <c r="BP100" i="14"/>
  <c r="BP101" i="14"/>
  <c r="BP106" i="14"/>
  <c r="BP107" i="14"/>
  <c r="BP108" i="14"/>
  <c r="BR108" i="14"/>
  <c r="BT14" i="14"/>
  <c r="BT22" i="14"/>
  <c r="BT32" i="14"/>
  <c r="BT33" i="14"/>
  <c r="BT41" i="14"/>
  <c r="BT48" i="14"/>
  <c r="BT57" i="14"/>
  <c r="BT62" i="14"/>
  <c r="BT69" i="14"/>
  <c r="BT85" i="14"/>
  <c r="BT87" i="14"/>
  <c r="BT93" i="14"/>
  <c r="BT94" i="14"/>
  <c r="BT100" i="14"/>
  <c r="BT101" i="14"/>
  <c r="BT106" i="14"/>
  <c r="BT107" i="14"/>
  <c r="BT108" i="14"/>
  <c r="BV14" i="14"/>
  <c r="BV22" i="14"/>
  <c r="BV32" i="14"/>
  <c r="BV33" i="14"/>
  <c r="BV41" i="14"/>
  <c r="BV48" i="14"/>
  <c r="BV57" i="14"/>
  <c r="BV62" i="14"/>
  <c r="BV69" i="14"/>
  <c r="BV85" i="14"/>
  <c r="BV87" i="14"/>
  <c r="BV93" i="14"/>
  <c r="BV94" i="14"/>
  <c r="BV100" i="14"/>
  <c r="BV101" i="14"/>
  <c r="BV106" i="14"/>
  <c r="BV107" i="14"/>
  <c r="BV108" i="14"/>
  <c r="BX14" i="14"/>
  <c r="BX22" i="14"/>
  <c r="BX32" i="14"/>
  <c r="BX33" i="14"/>
  <c r="BX41" i="14"/>
  <c r="BX48" i="14"/>
  <c r="BX57" i="14"/>
  <c r="BX62" i="14"/>
  <c r="BX69" i="14"/>
  <c r="BX85" i="14"/>
  <c r="BX87" i="14"/>
  <c r="BX93" i="14"/>
  <c r="BX94" i="14"/>
  <c r="BX100" i="14"/>
  <c r="BX101" i="14"/>
  <c r="BX106" i="14"/>
  <c r="BX107" i="14"/>
  <c r="BX108" i="14"/>
  <c r="BZ14" i="14"/>
  <c r="BZ22" i="14"/>
  <c r="BZ32" i="14"/>
  <c r="BZ33" i="14"/>
  <c r="BZ41" i="14"/>
  <c r="BZ48" i="14"/>
  <c r="BZ57" i="14"/>
  <c r="BZ62" i="14"/>
  <c r="BZ69" i="14"/>
  <c r="BZ85" i="14"/>
  <c r="BZ87" i="14"/>
  <c r="BZ93" i="14"/>
  <c r="BZ94" i="14"/>
  <c r="BZ100" i="14"/>
  <c r="BZ101" i="14"/>
  <c r="BZ106" i="14"/>
  <c r="BZ107" i="14"/>
  <c r="BZ108" i="14"/>
  <c r="CB14" i="14"/>
  <c r="CB22" i="14"/>
  <c r="CB32" i="14"/>
  <c r="CB33" i="14"/>
  <c r="CB41" i="14"/>
  <c r="CB48" i="14"/>
  <c r="CB57" i="14"/>
  <c r="CB62" i="14"/>
  <c r="CB69" i="14"/>
  <c r="CB85" i="14"/>
  <c r="CB87" i="14"/>
  <c r="CB93" i="14"/>
  <c r="CB94" i="14"/>
  <c r="CB100" i="14"/>
  <c r="CB101" i="14"/>
  <c r="CB106" i="14"/>
  <c r="CB107" i="14"/>
  <c r="CB108" i="14"/>
  <c r="CD108" i="14"/>
  <c r="CF14" i="14"/>
  <c r="CF22" i="14"/>
  <c r="CF32" i="14"/>
  <c r="CF33" i="14"/>
  <c r="CF41" i="14"/>
  <c r="CF48" i="14"/>
  <c r="CF57" i="14"/>
  <c r="CF62" i="14"/>
  <c r="CF69" i="14"/>
  <c r="CF85" i="14"/>
  <c r="CF87" i="14"/>
  <c r="CF93" i="14"/>
  <c r="CF94" i="14"/>
  <c r="CF100" i="14"/>
  <c r="CF101" i="14"/>
  <c r="CF106" i="14"/>
  <c r="CF107" i="14"/>
  <c r="CF108" i="14"/>
  <c r="CH108" i="14"/>
  <c r="T107" i="14"/>
  <c r="AN107" i="14"/>
  <c r="AT107" i="14"/>
  <c r="BH107" i="14"/>
  <c r="BL107" i="14"/>
  <c r="BR107" i="14"/>
  <c r="CD107" i="14"/>
  <c r="CH107" i="14"/>
  <c r="T106" i="14"/>
  <c r="AN106" i="14"/>
  <c r="AT106" i="14"/>
  <c r="BH106" i="14"/>
  <c r="BL106" i="14"/>
  <c r="BR106" i="14"/>
  <c r="CD106" i="14"/>
  <c r="CH106" i="14"/>
  <c r="T105" i="14"/>
  <c r="AN105" i="14"/>
  <c r="AT105" i="14"/>
  <c r="BH105" i="14"/>
  <c r="BL105" i="14"/>
  <c r="BR105" i="14"/>
  <c r="CD105" i="14"/>
  <c r="CH105" i="14"/>
  <c r="T104" i="14"/>
  <c r="AN104" i="14"/>
  <c r="AT104" i="14"/>
  <c r="BH104" i="14"/>
  <c r="BL104" i="14"/>
  <c r="BR104" i="14"/>
  <c r="CD104" i="14"/>
  <c r="CH104" i="14"/>
  <c r="T101" i="14"/>
  <c r="AN101" i="14"/>
  <c r="AT101" i="14"/>
  <c r="BH101" i="14"/>
  <c r="BL101" i="14"/>
  <c r="BR101" i="14"/>
  <c r="CD101" i="14"/>
  <c r="CH101" i="14"/>
  <c r="T100" i="14"/>
  <c r="AN100" i="14"/>
  <c r="AT100" i="14"/>
  <c r="BH100" i="14"/>
  <c r="BL100" i="14"/>
  <c r="BR100" i="14"/>
  <c r="CD100" i="14"/>
  <c r="CH100" i="14"/>
  <c r="T99" i="14"/>
  <c r="AN99" i="14"/>
  <c r="AT99" i="14"/>
  <c r="BH99" i="14"/>
  <c r="BL99" i="14"/>
  <c r="BR99" i="14"/>
  <c r="CD99" i="14"/>
  <c r="CH99" i="14"/>
  <c r="T98" i="14"/>
  <c r="AN98" i="14"/>
  <c r="AT98" i="14"/>
  <c r="BH98" i="14"/>
  <c r="BL98" i="14"/>
  <c r="BR98" i="14"/>
  <c r="CD98" i="14"/>
  <c r="CH98" i="14"/>
  <c r="T97" i="14"/>
  <c r="AN97" i="14"/>
  <c r="AT97" i="14"/>
  <c r="BH97" i="14"/>
  <c r="BL97" i="14"/>
  <c r="BR97" i="14"/>
  <c r="CD97" i="14"/>
  <c r="CH97" i="14"/>
  <c r="T96" i="14"/>
  <c r="AN96" i="14"/>
  <c r="AT96" i="14"/>
  <c r="BH96" i="14"/>
  <c r="BL96" i="14"/>
  <c r="BR96" i="14"/>
  <c r="CD96" i="14"/>
  <c r="CH96" i="14"/>
  <c r="T95" i="14"/>
  <c r="AN95" i="14"/>
  <c r="AT95" i="14"/>
  <c r="BH95" i="14"/>
  <c r="BL95" i="14"/>
  <c r="BR95" i="14"/>
  <c r="CD95" i="14"/>
  <c r="CH95" i="14"/>
  <c r="T94" i="14"/>
  <c r="AN94" i="14"/>
  <c r="AT94" i="14"/>
  <c r="BH94" i="14"/>
  <c r="BL94" i="14"/>
  <c r="BR94" i="14"/>
  <c r="CD94" i="14"/>
  <c r="CH94" i="14"/>
  <c r="T93" i="14"/>
  <c r="AN93" i="14"/>
  <c r="AT93" i="14"/>
  <c r="BH93" i="14"/>
  <c r="BL93" i="14"/>
  <c r="BR93" i="14"/>
  <c r="CD93" i="14"/>
  <c r="CH93" i="14"/>
  <c r="T92" i="14"/>
  <c r="AN92" i="14"/>
  <c r="AT92" i="14"/>
  <c r="BH92" i="14"/>
  <c r="BL92" i="14"/>
  <c r="BR92" i="14"/>
  <c r="CD92" i="14"/>
  <c r="CH92" i="14"/>
  <c r="T91" i="14"/>
  <c r="AN91" i="14"/>
  <c r="AT91" i="14"/>
  <c r="BH91" i="14"/>
  <c r="BL91" i="14"/>
  <c r="BR91" i="14"/>
  <c r="CD91" i="14"/>
  <c r="CH91" i="14"/>
  <c r="T90" i="14"/>
  <c r="AN90" i="14"/>
  <c r="AT90" i="14"/>
  <c r="BH90" i="14"/>
  <c r="BL90" i="14"/>
  <c r="BR90" i="14"/>
  <c r="CD90" i="14"/>
  <c r="CH90" i="14"/>
  <c r="T87" i="14"/>
  <c r="AN87" i="14"/>
  <c r="AT87" i="14"/>
  <c r="BH87" i="14"/>
  <c r="BL87" i="14"/>
  <c r="BR87" i="14"/>
  <c r="CD87" i="14"/>
  <c r="CH87" i="14"/>
  <c r="T86" i="14"/>
  <c r="AN86" i="14"/>
  <c r="AT86" i="14"/>
  <c r="BH86" i="14"/>
  <c r="BL86" i="14"/>
  <c r="BR86" i="14"/>
  <c r="CD86" i="14"/>
  <c r="CH86" i="14"/>
  <c r="T85" i="14"/>
  <c r="AN85" i="14"/>
  <c r="AT85" i="14"/>
  <c r="BH85" i="14"/>
  <c r="BL85" i="14"/>
  <c r="BR85" i="14"/>
  <c r="CD85" i="14"/>
  <c r="CH85" i="14"/>
  <c r="T84" i="14"/>
  <c r="AN84" i="14"/>
  <c r="AT84" i="14"/>
  <c r="BH84" i="14"/>
  <c r="BL84" i="14"/>
  <c r="BR84" i="14"/>
  <c r="CD84" i="14"/>
  <c r="CH84" i="14"/>
  <c r="T83" i="14"/>
  <c r="AN83" i="14"/>
  <c r="AT83" i="14"/>
  <c r="BH83" i="14"/>
  <c r="BL83" i="14"/>
  <c r="BR83" i="14"/>
  <c r="CD83" i="14"/>
  <c r="CH83" i="14"/>
  <c r="T82" i="14"/>
  <c r="AN82" i="14"/>
  <c r="AT82" i="14"/>
  <c r="BH82" i="14"/>
  <c r="BL82" i="14"/>
  <c r="BR82" i="14"/>
  <c r="CD82" i="14"/>
  <c r="CH82" i="14"/>
  <c r="T81" i="14"/>
  <c r="AN81" i="14"/>
  <c r="AT81" i="14"/>
  <c r="BH81" i="14"/>
  <c r="BL81" i="14"/>
  <c r="BR81" i="14"/>
  <c r="CD81" i="14"/>
  <c r="CH81" i="14"/>
  <c r="T80" i="14"/>
  <c r="AN80" i="14"/>
  <c r="AT80" i="14"/>
  <c r="BH80" i="14"/>
  <c r="BL80" i="14"/>
  <c r="BR80" i="14"/>
  <c r="CD80" i="14"/>
  <c r="CH80" i="14"/>
  <c r="T79" i="14"/>
  <c r="AN79" i="14"/>
  <c r="AT79" i="14"/>
  <c r="BH79" i="14"/>
  <c r="BL79" i="14"/>
  <c r="BR79" i="14"/>
  <c r="CD79" i="14"/>
  <c r="CH79" i="14"/>
  <c r="T78" i="14"/>
  <c r="AN78" i="14"/>
  <c r="AT78" i="14"/>
  <c r="BH78" i="14"/>
  <c r="BL78" i="14"/>
  <c r="BR78" i="14"/>
  <c r="CD78" i="14"/>
  <c r="CH78" i="14"/>
  <c r="T77" i="14"/>
  <c r="AN77" i="14"/>
  <c r="AT77" i="14"/>
  <c r="BH77" i="14"/>
  <c r="BL77" i="14"/>
  <c r="BR77" i="14"/>
  <c r="CD77" i="14"/>
  <c r="CH77" i="14"/>
  <c r="T76" i="14"/>
  <c r="AN76" i="14"/>
  <c r="AT76" i="14"/>
  <c r="BH76" i="14"/>
  <c r="BL76" i="14"/>
  <c r="BR76" i="14"/>
  <c r="CD76" i="14"/>
  <c r="CH76" i="14"/>
  <c r="T75" i="14"/>
  <c r="AN75" i="14"/>
  <c r="AT75" i="14"/>
  <c r="BH75" i="14"/>
  <c r="BL75" i="14"/>
  <c r="BR75" i="14"/>
  <c r="CD75" i="14"/>
  <c r="CH75" i="14"/>
  <c r="T74" i="14"/>
  <c r="AN74" i="14"/>
  <c r="AT74" i="14"/>
  <c r="BH74" i="14"/>
  <c r="BL74" i="14"/>
  <c r="BR74" i="14"/>
  <c r="CD74" i="14"/>
  <c r="CH74" i="14"/>
  <c r="T73" i="14"/>
  <c r="AN73" i="14"/>
  <c r="AT73" i="14"/>
  <c r="BH73" i="14"/>
  <c r="BL73" i="14"/>
  <c r="BR73" i="14"/>
  <c r="CD73" i="14"/>
  <c r="CH73" i="14"/>
  <c r="T72" i="14"/>
  <c r="AN72" i="14"/>
  <c r="AT72" i="14"/>
  <c r="BH72" i="14"/>
  <c r="BL72" i="14"/>
  <c r="BR72" i="14"/>
  <c r="CD72" i="14"/>
  <c r="CH72" i="14"/>
  <c r="T71" i="14"/>
  <c r="AN71" i="14"/>
  <c r="AT71" i="14"/>
  <c r="BH71" i="14"/>
  <c r="BL71" i="14"/>
  <c r="BR71" i="14"/>
  <c r="CD71" i="14"/>
  <c r="CH71" i="14"/>
  <c r="T69" i="14"/>
  <c r="AN69" i="14"/>
  <c r="AT69" i="14"/>
  <c r="BH69" i="14"/>
  <c r="BL69" i="14"/>
  <c r="BR69" i="14"/>
  <c r="CD69" i="14"/>
  <c r="CH69" i="14"/>
  <c r="T68" i="14"/>
  <c r="AN68" i="14"/>
  <c r="AT68" i="14"/>
  <c r="BH68" i="14"/>
  <c r="BL68" i="14"/>
  <c r="BR68" i="14"/>
  <c r="CD68" i="14"/>
  <c r="CH68" i="14"/>
  <c r="T67" i="14"/>
  <c r="AN67" i="14"/>
  <c r="AT67" i="14"/>
  <c r="BH67" i="14"/>
  <c r="BL67" i="14"/>
  <c r="BR67" i="14"/>
  <c r="CD67" i="14"/>
  <c r="CH67" i="14"/>
  <c r="T66" i="14"/>
  <c r="AN66" i="14"/>
  <c r="AT66" i="14"/>
  <c r="BH66" i="14"/>
  <c r="BL66" i="14"/>
  <c r="BR66" i="14"/>
  <c r="CD66" i="14"/>
  <c r="CH66" i="14"/>
  <c r="T65" i="14"/>
  <c r="AN65" i="14"/>
  <c r="AT65" i="14"/>
  <c r="BH65" i="14"/>
  <c r="BL65" i="14"/>
  <c r="BR65" i="14"/>
  <c r="CD65" i="14"/>
  <c r="CH65" i="14"/>
  <c r="T64" i="14"/>
  <c r="AN64" i="14"/>
  <c r="AT64" i="14"/>
  <c r="BH64" i="14"/>
  <c r="BL64" i="14"/>
  <c r="BR64" i="14"/>
  <c r="CD64" i="14"/>
  <c r="CH64" i="14"/>
  <c r="T62" i="14"/>
  <c r="AN62" i="14"/>
  <c r="AT62" i="14"/>
  <c r="BH62" i="14"/>
  <c r="BL62" i="14"/>
  <c r="BR62" i="14"/>
  <c r="CD62" i="14"/>
  <c r="CH62" i="14"/>
  <c r="T61" i="14"/>
  <c r="AN61" i="14"/>
  <c r="AT61" i="14"/>
  <c r="BH61" i="14"/>
  <c r="BL61" i="14"/>
  <c r="BR61" i="14"/>
  <c r="CD61" i="14"/>
  <c r="CH61" i="14"/>
  <c r="T60" i="14"/>
  <c r="AN60" i="14"/>
  <c r="AT60" i="14"/>
  <c r="BH60" i="14"/>
  <c r="BL60" i="14"/>
  <c r="BR60" i="14"/>
  <c r="CD60" i="14"/>
  <c r="CH60" i="14"/>
  <c r="T59" i="14"/>
  <c r="AN59" i="14"/>
  <c r="AT59" i="14"/>
  <c r="BH59" i="14"/>
  <c r="BL59" i="14"/>
  <c r="BR59" i="14"/>
  <c r="CD59" i="14"/>
  <c r="CH59" i="14"/>
  <c r="T57" i="14"/>
  <c r="AN57" i="14"/>
  <c r="AT57" i="14"/>
  <c r="BH57" i="14"/>
  <c r="BL57" i="14"/>
  <c r="BR57" i="14"/>
  <c r="CD57" i="14"/>
  <c r="CH57" i="14"/>
  <c r="T56" i="14"/>
  <c r="AN56" i="14"/>
  <c r="AT56" i="14"/>
  <c r="BH56" i="14"/>
  <c r="BL56" i="14"/>
  <c r="BR56" i="14"/>
  <c r="CD56" i="14"/>
  <c r="CH56" i="14"/>
  <c r="T55" i="14"/>
  <c r="AN55" i="14"/>
  <c r="AT55" i="14"/>
  <c r="BH55" i="14"/>
  <c r="BL55" i="14"/>
  <c r="BR55" i="14"/>
  <c r="CD55" i="14"/>
  <c r="CH55" i="14"/>
  <c r="T54" i="14"/>
  <c r="AN54" i="14"/>
  <c r="AT54" i="14"/>
  <c r="BH54" i="14"/>
  <c r="BL54" i="14"/>
  <c r="BR54" i="14"/>
  <c r="CD54" i="14"/>
  <c r="CH54" i="14"/>
  <c r="T53" i="14"/>
  <c r="AN53" i="14"/>
  <c r="AT53" i="14"/>
  <c r="BH53" i="14"/>
  <c r="BL53" i="14"/>
  <c r="BR53" i="14"/>
  <c r="CD53" i="14"/>
  <c r="CH53" i="14"/>
  <c r="T52" i="14"/>
  <c r="AN52" i="14"/>
  <c r="AT52" i="14"/>
  <c r="BH52" i="14"/>
  <c r="BL52" i="14"/>
  <c r="BR52" i="14"/>
  <c r="CD52" i="14"/>
  <c r="CH52" i="14"/>
  <c r="T51" i="14"/>
  <c r="AN51" i="14"/>
  <c r="AT51" i="14"/>
  <c r="BH51" i="14"/>
  <c r="BL51" i="14"/>
  <c r="BR51" i="14"/>
  <c r="CD51" i="14"/>
  <c r="CH51" i="14"/>
  <c r="T50" i="14"/>
  <c r="AN50" i="14"/>
  <c r="AT50" i="14"/>
  <c r="BH50" i="14"/>
  <c r="BL50" i="14"/>
  <c r="BR50" i="14"/>
  <c r="CD50" i="14"/>
  <c r="CH50" i="14"/>
  <c r="T48" i="14"/>
  <c r="AN48" i="14"/>
  <c r="AT48" i="14"/>
  <c r="BH48" i="14"/>
  <c r="BL48" i="14"/>
  <c r="BR48" i="14"/>
  <c r="CD48" i="14"/>
  <c r="CH48" i="14"/>
  <c r="T47" i="14"/>
  <c r="AN47" i="14"/>
  <c r="AT47" i="14"/>
  <c r="BH47" i="14"/>
  <c r="BL47" i="14"/>
  <c r="BR47" i="14"/>
  <c r="CD47" i="14"/>
  <c r="CH47" i="14"/>
  <c r="T46" i="14"/>
  <c r="AN46" i="14"/>
  <c r="AT46" i="14"/>
  <c r="BH46" i="14"/>
  <c r="BL46" i="14"/>
  <c r="BR46" i="14"/>
  <c r="CD46" i="14"/>
  <c r="CH46" i="14"/>
  <c r="T45" i="14"/>
  <c r="AN45" i="14"/>
  <c r="AT45" i="14"/>
  <c r="BH45" i="14"/>
  <c r="BL45" i="14"/>
  <c r="BR45" i="14"/>
  <c r="CD45" i="14"/>
  <c r="CH45" i="14"/>
  <c r="T44" i="14"/>
  <c r="AN44" i="14"/>
  <c r="AT44" i="14"/>
  <c r="BH44" i="14"/>
  <c r="BL44" i="14"/>
  <c r="BR44" i="14"/>
  <c r="CD44" i="14"/>
  <c r="CH44" i="14"/>
  <c r="T41" i="14"/>
  <c r="AN41" i="14"/>
  <c r="AT41" i="14"/>
  <c r="BH41" i="14"/>
  <c r="BL41" i="14"/>
  <c r="BR41" i="14"/>
  <c r="CD41" i="14"/>
  <c r="CH41" i="14"/>
  <c r="T40" i="14"/>
  <c r="AN40" i="14"/>
  <c r="AT40" i="14"/>
  <c r="BH40" i="14"/>
  <c r="BL40" i="14"/>
  <c r="BR40" i="14"/>
  <c r="CD40" i="14"/>
  <c r="CH40" i="14"/>
  <c r="T39" i="14"/>
  <c r="AN39" i="14"/>
  <c r="AT39" i="14"/>
  <c r="BH39" i="14"/>
  <c r="BL39" i="14"/>
  <c r="BR39" i="14"/>
  <c r="CD39" i="14"/>
  <c r="CH39" i="14"/>
  <c r="T38" i="14"/>
  <c r="AN38" i="14"/>
  <c r="AT38" i="14"/>
  <c r="BH38" i="14"/>
  <c r="BL38" i="14"/>
  <c r="BR38" i="14"/>
  <c r="CD38" i="14"/>
  <c r="CH38" i="14"/>
  <c r="T37" i="14"/>
  <c r="AN37" i="14"/>
  <c r="AT37" i="14"/>
  <c r="BH37" i="14"/>
  <c r="BL37" i="14"/>
  <c r="BR37" i="14"/>
  <c r="CD37" i="14"/>
  <c r="CH37" i="14"/>
  <c r="T36" i="14"/>
  <c r="AN36" i="14"/>
  <c r="AT36" i="14"/>
  <c r="BH36" i="14"/>
  <c r="BL36" i="14"/>
  <c r="BR36" i="14"/>
  <c r="CD36" i="14"/>
  <c r="CH36" i="14"/>
  <c r="T35" i="14"/>
  <c r="AN35" i="14"/>
  <c r="AT35" i="14"/>
  <c r="BH35" i="14"/>
  <c r="BL35" i="14"/>
  <c r="BR35" i="14"/>
  <c r="CD35" i="14"/>
  <c r="CH35" i="14"/>
  <c r="T33" i="14"/>
  <c r="AN33" i="14"/>
  <c r="AT33" i="14"/>
  <c r="BH33" i="14"/>
  <c r="BL33" i="14"/>
  <c r="BR33" i="14"/>
  <c r="CD33" i="14"/>
  <c r="CH33" i="14"/>
  <c r="T32" i="14"/>
  <c r="AN32" i="14"/>
  <c r="AT32" i="14"/>
  <c r="BH32" i="14"/>
  <c r="BL32" i="14"/>
  <c r="BR32" i="14"/>
  <c r="CD32" i="14"/>
  <c r="CH32" i="14"/>
  <c r="T31" i="14"/>
  <c r="AN31" i="14"/>
  <c r="AT31" i="14"/>
  <c r="BH31" i="14"/>
  <c r="BL31" i="14"/>
  <c r="BR31" i="14"/>
  <c r="CD31" i="14"/>
  <c r="CH31" i="14"/>
  <c r="T30" i="14"/>
  <c r="AN30" i="14"/>
  <c r="AT30" i="14"/>
  <c r="BH30" i="14"/>
  <c r="BL30" i="14"/>
  <c r="BR30" i="14"/>
  <c r="CD30" i="14"/>
  <c r="CH30" i="14"/>
  <c r="T28" i="14"/>
  <c r="AN28" i="14"/>
  <c r="AT28" i="14"/>
  <c r="BH28" i="14"/>
  <c r="BL28" i="14"/>
  <c r="BR28" i="14"/>
  <c r="CD28" i="14"/>
  <c r="CH28" i="14"/>
  <c r="T27" i="14"/>
  <c r="AN27" i="14"/>
  <c r="AT27" i="14"/>
  <c r="BH27" i="14"/>
  <c r="BL27" i="14"/>
  <c r="BR27" i="14"/>
  <c r="CD27" i="14"/>
  <c r="CH27" i="14"/>
  <c r="T26" i="14"/>
  <c r="AN26" i="14"/>
  <c r="AT26" i="14"/>
  <c r="BH26" i="14"/>
  <c r="BL26" i="14"/>
  <c r="BR26" i="14"/>
  <c r="CD26" i="14"/>
  <c r="CH26" i="14"/>
  <c r="T25" i="14"/>
  <c r="AN25" i="14"/>
  <c r="AT25" i="14"/>
  <c r="BH25" i="14"/>
  <c r="BL25" i="14"/>
  <c r="BR25" i="14"/>
  <c r="CD25" i="14"/>
  <c r="CH25" i="14"/>
  <c r="T24" i="14"/>
  <c r="AN24" i="14"/>
  <c r="AT24" i="14"/>
  <c r="BH24" i="14"/>
  <c r="BL24" i="14"/>
  <c r="BR24" i="14"/>
  <c r="CD24" i="14"/>
  <c r="CH24" i="14"/>
  <c r="T22" i="14"/>
  <c r="AN22" i="14"/>
  <c r="AT22" i="14"/>
  <c r="BH22" i="14"/>
  <c r="BL22" i="14"/>
  <c r="BR22" i="14"/>
  <c r="CD22" i="14"/>
  <c r="CH22" i="14"/>
  <c r="T21" i="14"/>
  <c r="AN21" i="14"/>
  <c r="AT21" i="14"/>
  <c r="BH21" i="14"/>
  <c r="BL21" i="14"/>
  <c r="BR21" i="14"/>
  <c r="CD21" i="14"/>
  <c r="CH21" i="14"/>
  <c r="T20" i="14"/>
  <c r="AN20" i="14"/>
  <c r="AT20" i="14"/>
  <c r="BH20" i="14"/>
  <c r="BL20" i="14"/>
  <c r="BR20" i="14"/>
  <c r="CD20" i="14"/>
  <c r="CH20" i="14"/>
  <c r="T19" i="14"/>
  <c r="AN19" i="14"/>
  <c r="AT19" i="14"/>
  <c r="BH19" i="14"/>
  <c r="BL19" i="14"/>
  <c r="BR19" i="14"/>
  <c r="CD19" i="14"/>
  <c r="CH19" i="14"/>
  <c r="T18" i="14"/>
  <c r="AN18" i="14"/>
  <c r="AT18" i="14"/>
  <c r="BH18" i="14"/>
  <c r="BL18" i="14"/>
  <c r="BR18" i="14"/>
  <c r="CD18" i="14"/>
  <c r="CH18" i="14"/>
  <c r="T17" i="14"/>
  <c r="AN17" i="14"/>
  <c r="AT17" i="14"/>
  <c r="BH17" i="14"/>
  <c r="BL17" i="14"/>
  <c r="BR17" i="14"/>
  <c r="CD17" i="14"/>
  <c r="CH17" i="14"/>
  <c r="T16" i="14"/>
  <c r="AN16" i="14"/>
  <c r="AT16" i="14"/>
  <c r="BH16" i="14"/>
  <c r="BL16" i="14"/>
  <c r="BR16" i="14"/>
  <c r="CD16" i="14"/>
  <c r="CH16" i="14"/>
  <c r="T14" i="14"/>
  <c r="AN14" i="14"/>
  <c r="AT14" i="14"/>
  <c r="BH14" i="14"/>
  <c r="BL14" i="14"/>
  <c r="BR14" i="14"/>
  <c r="CD14" i="14"/>
  <c r="CH14" i="14"/>
  <c r="T13" i="14"/>
  <c r="AN13" i="14"/>
  <c r="AT13" i="14"/>
  <c r="BH13" i="14"/>
  <c r="BL13" i="14"/>
  <c r="BR13" i="14"/>
  <c r="CD13" i="14"/>
  <c r="CH13" i="14"/>
  <c r="T12" i="14"/>
  <c r="AN12" i="14"/>
  <c r="AT12" i="14"/>
  <c r="BH12" i="14"/>
  <c r="BL12" i="14"/>
  <c r="BR12" i="14"/>
  <c r="CD12" i="14"/>
  <c r="CH12" i="14"/>
  <c r="T11" i="14"/>
  <c r="AN11" i="14"/>
  <c r="AT11" i="14"/>
  <c r="BH11" i="14"/>
  <c r="BL11" i="14"/>
  <c r="BR11" i="14"/>
  <c r="CD11" i="14"/>
  <c r="CH11" i="14"/>
  <c r="T10" i="14"/>
  <c r="AN10" i="14"/>
  <c r="AT10" i="14"/>
  <c r="BH10" i="14"/>
  <c r="BL10" i="14"/>
  <c r="BR10" i="14"/>
  <c r="CD10" i="14"/>
  <c r="CH10" i="14"/>
  <c r="T9" i="14"/>
  <c r="AN9" i="14"/>
  <c r="AT9" i="14"/>
  <c r="BH9" i="14"/>
  <c r="BL9" i="14"/>
  <c r="BR9" i="14"/>
  <c r="CD9" i="14"/>
  <c r="CH9" i="14"/>
  <c r="T7" i="14"/>
  <c r="AN7" i="14"/>
  <c r="AT7" i="14"/>
  <c r="BH7" i="14"/>
  <c r="BL7" i="14"/>
  <c r="BR7" i="14"/>
  <c r="CD7" i="14"/>
  <c r="CH7" i="14"/>
  <c r="T6" i="14"/>
  <c r="AN6" i="14"/>
  <c r="AT6" i="14"/>
  <c r="BH6" i="14"/>
  <c r="BL6" i="14"/>
  <c r="BR6" i="14"/>
  <c r="CD6" i="14"/>
  <c r="CH6" i="14"/>
  <c r="T5" i="14"/>
  <c r="AN5" i="14"/>
  <c r="AT5" i="14"/>
  <c r="BH5" i="14"/>
  <c r="BL5" i="14"/>
  <c r="BR5" i="14"/>
  <c r="CD5" i="14"/>
  <c r="CH5" i="14"/>
  <c r="AY3" i="13"/>
  <c r="AY2" i="13"/>
  <c r="H11" i="12"/>
  <c r="H19" i="12"/>
  <c r="H24" i="12"/>
  <c r="H29" i="12"/>
  <c r="H43" i="12"/>
  <c r="H45" i="12"/>
  <c r="H50" i="12"/>
  <c r="J11" i="12"/>
  <c r="J19" i="12"/>
  <c r="J24" i="12"/>
  <c r="J29" i="12"/>
  <c r="J43" i="12"/>
  <c r="J45" i="12"/>
  <c r="J50" i="12"/>
  <c r="L11" i="12"/>
  <c r="L19" i="12"/>
  <c r="L24" i="12"/>
  <c r="L29" i="12"/>
  <c r="L43" i="12"/>
  <c r="L45" i="12"/>
  <c r="L50" i="12"/>
  <c r="N11" i="12"/>
  <c r="N19" i="12"/>
  <c r="N24" i="12"/>
  <c r="N29" i="12"/>
  <c r="N43" i="12"/>
  <c r="N45" i="12"/>
  <c r="N50" i="12"/>
  <c r="P11" i="12"/>
  <c r="P19" i="12"/>
  <c r="P24" i="12"/>
  <c r="P29" i="12"/>
  <c r="P43" i="12"/>
  <c r="P45" i="12"/>
  <c r="P50" i="12"/>
  <c r="R11" i="12"/>
  <c r="R19" i="12"/>
  <c r="R24" i="12"/>
  <c r="R29" i="12"/>
  <c r="R43" i="12"/>
  <c r="R45" i="12"/>
  <c r="R50" i="12"/>
  <c r="T11" i="12"/>
  <c r="T19" i="12"/>
  <c r="T24" i="12"/>
  <c r="T29" i="12"/>
  <c r="T43" i="12"/>
  <c r="T45" i="12"/>
  <c r="T50" i="12"/>
  <c r="V11" i="12"/>
  <c r="V19" i="12"/>
  <c r="V24" i="12"/>
  <c r="V29" i="12"/>
  <c r="V43" i="12"/>
  <c r="V45" i="12"/>
  <c r="V50" i="12"/>
  <c r="X11" i="12"/>
  <c r="X19" i="12"/>
  <c r="X24" i="12"/>
  <c r="X29" i="12"/>
  <c r="X43" i="12"/>
  <c r="X45" i="12"/>
  <c r="X50" i="12"/>
  <c r="Z11" i="12"/>
  <c r="Z19" i="12"/>
  <c r="Z24" i="12"/>
  <c r="Z29" i="12"/>
  <c r="Z43" i="12"/>
  <c r="Z45" i="12"/>
  <c r="Z50" i="12"/>
  <c r="AB11" i="12"/>
  <c r="AB19" i="12"/>
  <c r="AB24" i="12"/>
  <c r="AB29" i="12"/>
  <c r="AB43" i="12"/>
  <c r="AB45" i="12"/>
  <c r="AB50" i="12"/>
  <c r="AD11" i="12"/>
  <c r="AD19" i="12"/>
  <c r="AD24" i="12"/>
  <c r="AD29" i="12"/>
  <c r="AD43" i="12"/>
  <c r="AD45" i="12"/>
  <c r="AD50" i="12"/>
  <c r="AF11" i="12"/>
  <c r="AF19" i="12"/>
  <c r="AF24" i="12"/>
  <c r="AF29" i="12"/>
  <c r="AF43" i="12"/>
  <c r="AF45" i="12"/>
  <c r="AF50" i="12"/>
  <c r="AH11" i="12"/>
  <c r="AH19" i="12"/>
  <c r="AH24" i="12"/>
  <c r="AH29" i="12"/>
  <c r="AH43" i="12"/>
  <c r="AH45" i="12"/>
  <c r="AH50" i="12"/>
  <c r="AJ11" i="12"/>
  <c r="AJ19" i="12"/>
  <c r="AJ24" i="12"/>
  <c r="AJ29" i="12"/>
  <c r="AJ43" i="12"/>
  <c r="AJ45" i="12"/>
  <c r="AJ50" i="12"/>
  <c r="AL11" i="12"/>
  <c r="AL19" i="12"/>
  <c r="AL24" i="12"/>
  <c r="AL29" i="12"/>
  <c r="AL43" i="12"/>
  <c r="AL45" i="12"/>
  <c r="AL50" i="12"/>
  <c r="AN11" i="12"/>
  <c r="AN19" i="12"/>
  <c r="AN24" i="12"/>
  <c r="AN29" i="12"/>
  <c r="AN43" i="12"/>
  <c r="AN45" i="12"/>
  <c r="AN50" i="12"/>
  <c r="AP11" i="12"/>
  <c r="AP19" i="12"/>
  <c r="AP24" i="12"/>
  <c r="AP29" i="12"/>
  <c r="AP43" i="12"/>
  <c r="AP45" i="12"/>
  <c r="AP50" i="12"/>
  <c r="AR11" i="12"/>
  <c r="AR19" i="12"/>
  <c r="AR24" i="12"/>
  <c r="AR29" i="12"/>
  <c r="AR43" i="12"/>
  <c r="AR45" i="12"/>
  <c r="AR50" i="12"/>
  <c r="AT11" i="12"/>
  <c r="AT19" i="12"/>
  <c r="AT24" i="12"/>
  <c r="AT29" i="12"/>
  <c r="AT43" i="12"/>
  <c r="AT45" i="12"/>
  <c r="AT50" i="12"/>
  <c r="AV11" i="12"/>
  <c r="AV19" i="12"/>
  <c r="AV24" i="12"/>
  <c r="AV29" i="12"/>
  <c r="AV43" i="12"/>
  <c r="AV45" i="12"/>
  <c r="AV50" i="12"/>
  <c r="AX11" i="12"/>
  <c r="AX19" i="12"/>
  <c r="AX24" i="12"/>
  <c r="AX29" i="12"/>
  <c r="AX43" i="12"/>
  <c r="AX45" i="12"/>
  <c r="AX50" i="12"/>
  <c r="AZ50" i="12"/>
  <c r="AZ49" i="12"/>
  <c r="AZ48" i="12"/>
  <c r="AZ47" i="12"/>
  <c r="AZ46" i="12"/>
  <c r="AZ45" i="12"/>
  <c r="AZ44" i="12"/>
  <c r="AZ43" i="12"/>
  <c r="AZ42" i="12"/>
  <c r="AZ41" i="12"/>
  <c r="AZ40" i="12"/>
  <c r="AZ39" i="12"/>
  <c r="AZ38" i="12"/>
  <c r="AZ37" i="12"/>
  <c r="AZ36" i="12"/>
  <c r="AZ35" i="12"/>
  <c r="AZ34" i="12"/>
  <c r="AZ33" i="12"/>
  <c r="AZ32" i="12"/>
  <c r="AZ31" i="12"/>
  <c r="AZ29" i="12"/>
  <c r="AZ28" i="12"/>
  <c r="AZ27" i="12"/>
  <c r="AZ26" i="12"/>
  <c r="AZ24" i="12"/>
  <c r="AZ23" i="12"/>
  <c r="AZ22" i="12"/>
  <c r="AZ21" i="12"/>
  <c r="AZ19" i="12"/>
  <c r="AZ18" i="12"/>
  <c r="AZ17" i="12"/>
  <c r="AZ16" i="12"/>
  <c r="AZ15" i="12"/>
  <c r="AZ14" i="12"/>
  <c r="AZ13" i="12"/>
  <c r="AZ11" i="12"/>
  <c r="AZ10" i="12"/>
  <c r="AZ9" i="12"/>
  <c r="AZ8" i="12"/>
  <c r="AZ7" i="12"/>
  <c r="AZ4" i="12"/>
  <c r="L95" i="8"/>
  <c r="L86" i="8"/>
  <c r="L68" i="8"/>
  <c r="L59" i="8"/>
  <c r="L50" i="8"/>
  <c r="L41" i="8"/>
  <c r="L32" i="8"/>
  <c r="L23" i="8"/>
  <c r="L14" i="8"/>
  <c r="F22" i="10"/>
  <c r="F23" i="10"/>
  <c r="F24" i="10"/>
  <c r="F25" i="10"/>
  <c r="F26" i="10"/>
  <c r="F10" i="1"/>
  <c r="D22" i="10"/>
  <c r="E22" i="10"/>
  <c r="D23" i="10"/>
  <c r="E23" i="10"/>
  <c r="D24" i="10"/>
  <c r="E24" i="10"/>
  <c r="D25" i="10"/>
  <c r="E25" i="10"/>
  <c r="D26" i="10"/>
  <c r="E26" i="10"/>
  <c r="E11" i="10"/>
  <c r="E12" i="10"/>
  <c r="E13" i="10"/>
  <c r="E14" i="10"/>
  <c r="F14" i="10"/>
  <c r="E10" i="1"/>
  <c r="E8" i="10"/>
  <c r="E9" i="10"/>
  <c r="E10" i="10"/>
  <c r="F10" i="10"/>
  <c r="E8" i="1"/>
  <c r="E6" i="1"/>
  <c r="F21" i="10"/>
  <c r="D10" i="1"/>
  <c r="D12" i="1"/>
  <c r="E12" i="1"/>
  <c r="F12" i="1"/>
  <c r="D21" i="10"/>
  <c r="E21" i="10"/>
  <c r="C10" i="1"/>
  <c r="C6" i="1"/>
  <c r="C8" i="1"/>
  <c r="C12" i="1"/>
  <c r="E15" i="10"/>
  <c r="E16" i="10"/>
  <c r="E17" i="10"/>
  <c r="R14" i="9"/>
  <c r="R21" i="9"/>
  <c r="R31" i="9"/>
  <c r="R40" i="9"/>
  <c r="R46" i="9"/>
  <c r="R47" i="9"/>
  <c r="R54" i="9"/>
  <c r="R62" i="9"/>
  <c r="R67" i="9"/>
  <c r="R72" i="9"/>
  <c r="R89" i="9"/>
  <c r="D27" i="10"/>
  <c r="C27" i="10"/>
  <c r="F27" i="10"/>
  <c r="E27" i="10"/>
  <c r="E33" i="10"/>
  <c r="E34" i="10"/>
  <c r="E35" i="10"/>
  <c r="E36" i="10"/>
  <c r="E37" i="10"/>
  <c r="E38" i="10"/>
  <c r="I14" i="9"/>
  <c r="I21" i="9"/>
  <c r="I31" i="9"/>
  <c r="I40" i="9"/>
  <c r="I46" i="9"/>
  <c r="I47" i="9"/>
  <c r="I54" i="9"/>
  <c r="I62" i="9"/>
  <c r="I67" i="9"/>
  <c r="I72" i="9"/>
  <c r="I89" i="9"/>
  <c r="I91" i="9"/>
  <c r="I92" i="9"/>
  <c r="L14" i="9"/>
  <c r="L21" i="9"/>
  <c r="L31" i="9"/>
  <c r="L40" i="9"/>
  <c r="L46" i="9"/>
  <c r="L47" i="9"/>
  <c r="L54" i="9"/>
  <c r="L62" i="9"/>
  <c r="L67" i="9"/>
  <c r="L72" i="9"/>
  <c r="L89" i="9"/>
  <c r="L91" i="9"/>
  <c r="L92" i="9"/>
  <c r="R91" i="9"/>
  <c r="R92" i="9"/>
  <c r="E39" i="10"/>
  <c r="O14" i="9"/>
  <c r="O21" i="9"/>
  <c r="O31" i="9"/>
  <c r="O40" i="9"/>
  <c r="O46" i="9"/>
  <c r="O47" i="9"/>
  <c r="O54" i="9"/>
  <c r="O62" i="9"/>
  <c r="O67" i="9"/>
  <c r="O72" i="9"/>
  <c r="O89" i="9"/>
  <c r="O91" i="9"/>
  <c r="O92" i="9"/>
  <c r="E40" i="10"/>
  <c r="E41" i="10"/>
  <c r="C34" i="10"/>
  <c r="D34" i="10"/>
  <c r="F34" i="10"/>
  <c r="H34" i="10"/>
  <c r="C33" i="10"/>
  <c r="D33" i="10"/>
  <c r="F33" i="10"/>
  <c r="C35" i="10"/>
  <c r="D35" i="10"/>
  <c r="F35" i="10"/>
  <c r="C36" i="10"/>
  <c r="D36" i="10"/>
  <c r="F36" i="10"/>
  <c r="C37" i="10"/>
  <c r="D37" i="10"/>
  <c r="F37" i="10"/>
  <c r="C38" i="10"/>
  <c r="D38" i="10"/>
  <c r="F38" i="10"/>
  <c r="C39" i="10"/>
  <c r="D39" i="10"/>
  <c r="C40" i="10"/>
  <c r="D40" i="10"/>
  <c r="H42" i="10"/>
  <c r="J34" i="10"/>
  <c r="H35" i="10"/>
  <c r="J35" i="10"/>
  <c r="H36" i="10"/>
  <c r="J36" i="10"/>
  <c r="H37" i="10"/>
  <c r="J37" i="10"/>
  <c r="H38" i="10"/>
  <c r="J38" i="10"/>
  <c r="H39" i="10"/>
  <c r="J39" i="10"/>
  <c r="H40" i="10"/>
  <c r="J40" i="10"/>
  <c r="H33" i="10"/>
  <c r="J33" i="10"/>
  <c r="G34" i="10"/>
  <c r="G42" i="10"/>
  <c r="I34" i="10"/>
  <c r="G35" i="10"/>
  <c r="I35" i="10"/>
  <c r="G36" i="10"/>
  <c r="I36" i="10"/>
  <c r="G37" i="10"/>
  <c r="I37" i="10"/>
  <c r="G38" i="10"/>
  <c r="I38" i="10"/>
  <c r="G39" i="10"/>
  <c r="I39" i="10"/>
  <c r="G40" i="10"/>
  <c r="I40" i="10"/>
  <c r="G33" i="10"/>
  <c r="I33" i="10"/>
  <c r="F41" i="10"/>
  <c r="D41" i="10"/>
  <c r="C41" i="10"/>
  <c r="C29" i="10"/>
  <c r="C28" i="10"/>
  <c r="F7" i="10"/>
  <c r="O3" i="7"/>
  <c r="C68" i="7"/>
  <c r="B68" i="7"/>
  <c r="C32" i="7"/>
  <c r="C50" i="7"/>
  <c r="B69" i="7"/>
  <c r="C69" i="7"/>
  <c r="D69" i="7"/>
  <c r="B70" i="7"/>
  <c r="C70" i="7"/>
  <c r="D70" i="7"/>
  <c r="B71" i="7"/>
  <c r="C71" i="7"/>
  <c r="D71" i="7"/>
  <c r="B72" i="7"/>
  <c r="C72" i="7"/>
  <c r="D72" i="7"/>
  <c r="B73" i="7"/>
  <c r="C73" i="7"/>
  <c r="D73" i="7"/>
  <c r="D68" i="7"/>
  <c r="I59" i="7"/>
  <c r="I50" i="7"/>
  <c r="I41" i="7"/>
  <c r="I32" i="7"/>
  <c r="I23" i="7"/>
  <c r="I14" i="7"/>
  <c r="I5" i="7"/>
  <c r="B32" i="7"/>
  <c r="B50" i="7"/>
  <c r="O1" i="7"/>
  <c r="F65" i="7"/>
  <c r="D65" i="7"/>
  <c r="C65" i="7"/>
  <c r="B65" i="7"/>
  <c r="H59" i="7"/>
  <c r="F56" i="7"/>
  <c r="D56" i="7"/>
  <c r="C56" i="7"/>
  <c r="B56" i="7"/>
  <c r="H50" i="7"/>
  <c r="F47" i="7"/>
  <c r="D47" i="7"/>
  <c r="C47" i="7"/>
  <c r="B47" i="7"/>
  <c r="H41" i="7"/>
  <c r="F38" i="7"/>
  <c r="D38" i="7"/>
  <c r="C38" i="7"/>
  <c r="B38" i="7"/>
  <c r="H32" i="7"/>
  <c r="F29" i="7"/>
  <c r="D29" i="7"/>
  <c r="C29" i="7"/>
  <c r="B29" i="7"/>
  <c r="H23" i="7"/>
  <c r="F20" i="7"/>
  <c r="D20" i="7"/>
  <c r="C20" i="7"/>
  <c r="B20" i="7"/>
  <c r="H14" i="7"/>
  <c r="F11" i="7"/>
  <c r="D11" i="7"/>
  <c r="C11" i="7"/>
  <c r="B11" i="7"/>
  <c r="H5" i="7"/>
  <c r="E108" i="8"/>
  <c r="A91" i="8"/>
  <c r="A92" i="8"/>
  <c r="A93" i="8"/>
  <c r="A94" i="8"/>
  <c r="A95" i="8"/>
  <c r="A90" i="8"/>
  <c r="I114" i="8"/>
  <c r="I109" i="8"/>
  <c r="I110" i="8"/>
  <c r="I111" i="8"/>
  <c r="I112" i="8"/>
  <c r="I113" i="8"/>
  <c r="I108" i="8"/>
  <c r="J114" i="8"/>
  <c r="I83" i="11"/>
  <c r="L81" i="11"/>
  <c r="S92" i="9"/>
  <c r="J109" i="8"/>
  <c r="J110" i="8"/>
  <c r="J111" i="8"/>
  <c r="J112" i="8"/>
  <c r="J113" i="8"/>
  <c r="J108" i="8"/>
  <c r="D74" i="7"/>
  <c r="F69" i="7"/>
  <c r="F70" i="7"/>
  <c r="F71" i="7"/>
  <c r="F72" i="7"/>
  <c r="F73" i="7"/>
  <c r="F68" i="7"/>
  <c r="J68" i="7"/>
  <c r="E69" i="7"/>
  <c r="E70" i="7"/>
  <c r="E71" i="7"/>
  <c r="E72" i="7"/>
  <c r="E73" i="7"/>
  <c r="E68" i="7"/>
  <c r="F74" i="7"/>
  <c r="C74" i="7"/>
  <c r="B74" i="7"/>
  <c r="H109" i="8"/>
  <c r="H110" i="8"/>
  <c r="H111" i="8"/>
  <c r="H112" i="8"/>
  <c r="H113" i="8"/>
  <c r="B109" i="8"/>
  <c r="B110" i="8"/>
  <c r="B111" i="8"/>
  <c r="B112" i="8"/>
  <c r="B113" i="8"/>
  <c r="H108" i="8"/>
  <c r="B108" i="8"/>
  <c r="G109" i="8"/>
  <c r="G110" i="8"/>
  <c r="G111" i="8"/>
  <c r="G112" i="8"/>
  <c r="G113" i="8"/>
  <c r="G108" i="8"/>
  <c r="F109" i="8"/>
  <c r="F110" i="8"/>
  <c r="F111" i="8"/>
  <c r="F112" i="8"/>
  <c r="F113" i="8"/>
  <c r="F108" i="8"/>
  <c r="E109" i="8"/>
  <c r="E110" i="8"/>
  <c r="E111" i="8"/>
  <c r="E112" i="8"/>
  <c r="E113" i="8"/>
  <c r="H114" i="8"/>
  <c r="G114" i="8"/>
  <c r="F114" i="8"/>
  <c r="E114" i="8"/>
  <c r="I105" i="8"/>
  <c r="H105" i="8"/>
  <c r="G105" i="8"/>
  <c r="F105" i="8"/>
  <c r="E105" i="8"/>
  <c r="K104" i="8"/>
  <c r="K103" i="8"/>
  <c r="K102" i="8"/>
  <c r="K101" i="8"/>
  <c r="K100" i="8"/>
  <c r="K99" i="8"/>
  <c r="K95" i="8"/>
  <c r="K94" i="8"/>
  <c r="K93" i="8"/>
  <c r="K92" i="8"/>
  <c r="K91" i="8"/>
  <c r="K90" i="8"/>
  <c r="K86" i="8"/>
  <c r="A86" i="8"/>
  <c r="K85" i="8"/>
  <c r="A85" i="8"/>
  <c r="K84" i="8"/>
  <c r="A84" i="8"/>
  <c r="K83" i="8"/>
  <c r="A83" i="8"/>
  <c r="K82" i="8"/>
  <c r="A82" i="8"/>
  <c r="K81" i="8"/>
  <c r="A81" i="8"/>
  <c r="K77" i="8"/>
  <c r="A77" i="8"/>
  <c r="K76" i="8"/>
  <c r="A76" i="8"/>
  <c r="K75" i="8"/>
  <c r="A75" i="8"/>
  <c r="K74" i="8"/>
  <c r="A74" i="8"/>
  <c r="K73" i="8"/>
  <c r="A73" i="8"/>
  <c r="K72" i="8"/>
  <c r="A72" i="8"/>
  <c r="K68" i="8"/>
  <c r="A68" i="8"/>
  <c r="K67" i="8"/>
  <c r="A67" i="8"/>
  <c r="K66" i="8"/>
  <c r="A66" i="8"/>
  <c r="K65" i="8"/>
  <c r="A65" i="8"/>
  <c r="K64" i="8"/>
  <c r="A64" i="8"/>
  <c r="K63" i="8"/>
  <c r="A63" i="8"/>
  <c r="K59" i="8"/>
  <c r="A59" i="8"/>
  <c r="K58" i="8"/>
  <c r="A58" i="8"/>
  <c r="K57" i="8"/>
  <c r="A57" i="8"/>
  <c r="K56" i="8"/>
  <c r="A56" i="8"/>
  <c r="K55" i="8"/>
  <c r="A55" i="8"/>
  <c r="K54" i="8"/>
  <c r="A54" i="8"/>
  <c r="K50" i="8"/>
  <c r="A50" i="8"/>
  <c r="K49" i="8"/>
  <c r="A49" i="8"/>
  <c r="K48" i="8"/>
  <c r="A48" i="8"/>
  <c r="K47" i="8"/>
  <c r="A47" i="8"/>
  <c r="K46" i="8"/>
  <c r="A46" i="8"/>
  <c r="K45" i="8"/>
  <c r="A45" i="8"/>
  <c r="K41" i="8"/>
  <c r="A41" i="8"/>
  <c r="K40" i="8"/>
  <c r="A40" i="8"/>
  <c r="K39" i="8"/>
  <c r="A39" i="8"/>
  <c r="K38" i="8"/>
  <c r="A38" i="8"/>
  <c r="K37" i="8"/>
  <c r="A37" i="8"/>
  <c r="K36" i="8"/>
  <c r="A36" i="8"/>
  <c r="K32" i="8"/>
  <c r="A32" i="8"/>
  <c r="K31" i="8"/>
  <c r="A31" i="8"/>
  <c r="K30" i="8"/>
  <c r="A30" i="8"/>
  <c r="K29" i="8"/>
  <c r="A29" i="8"/>
  <c r="K28" i="8"/>
  <c r="A28" i="8"/>
  <c r="K27" i="8"/>
  <c r="A27" i="8"/>
  <c r="K23" i="8"/>
  <c r="A23" i="8"/>
  <c r="K22" i="8"/>
  <c r="A22" i="8"/>
  <c r="K21" i="8"/>
  <c r="A21" i="8"/>
  <c r="K20" i="8"/>
  <c r="A20" i="8"/>
  <c r="K19" i="8"/>
  <c r="A19" i="8"/>
  <c r="K18" i="8"/>
  <c r="A18" i="8"/>
  <c r="K14" i="8"/>
  <c r="A14" i="8"/>
  <c r="K13" i="8"/>
  <c r="A13" i="8"/>
  <c r="K12" i="8"/>
  <c r="A12" i="8"/>
  <c r="K11" i="8"/>
  <c r="A11" i="8"/>
  <c r="K10" i="8"/>
  <c r="A10" i="8"/>
  <c r="K9" i="8"/>
  <c r="A9" i="8"/>
  <c r="D11" i="5"/>
  <c r="D24" i="5"/>
  <c r="H26" i="5"/>
  <c r="H28" i="5"/>
  <c r="H24" i="5"/>
  <c r="D10" i="5"/>
  <c r="G24" i="5"/>
  <c r="D15" i="5"/>
  <c r="G26" i="5"/>
  <c r="G29" i="5"/>
  <c r="G30" i="5"/>
  <c r="F26" i="5"/>
  <c r="F28" i="5"/>
  <c r="F24" i="5"/>
  <c r="C11" i="5"/>
  <c r="E24" i="5"/>
  <c r="E26" i="5"/>
  <c r="E29" i="5"/>
  <c r="E30" i="5"/>
  <c r="C26" i="5"/>
  <c r="D26" i="5"/>
  <c r="D28" i="5"/>
  <c r="D27" i="5"/>
  <c r="E11" i="5"/>
  <c r="C27" i="5"/>
  <c r="C29" i="5"/>
  <c r="C30" i="5"/>
  <c r="E12" i="5"/>
  <c r="D12" i="5"/>
  <c r="E10" i="5"/>
  <c r="B11" i="4"/>
</calcChain>
</file>

<file path=xl/comments1.xml><?xml version="1.0" encoding="utf-8"?>
<comments xmlns="http://schemas.openxmlformats.org/spreadsheetml/2006/main">
  <authors>
    <author>Author</author>
  </authors>
  <commentList>
    <comment ref="K25" authorId="0">
      <text>
        <r>
          <rPr>
            <b/>
            <sz val="9"/>
            <color indexed="81"/>
            <rFont val="Calibri"/>
            <family val="2"/>
          </rPr>
          <t xml:space="preserve">Rebecca Raible
</t>
        </r>
        <r>
          <rPr>
            <sz val="9"/>
            <color indexed="81"/>
            <rFont val="Calibri"/>
            <family val="2"/>
          </rPr>
          <t xml:space="preserve">GiveDirectly's president's time was not paid before FY 2014. GiveDirectly started in 2009. We believe this means that GD's president's salary is not included for:
FY 2010 (2009-2010)
FY 2011 (2010-2011)
FY 2012 (2011-2012)
FY 2013 (2012-2013)
We estimate the value of a President's time at $100,000 per year. Since it is our understanding that most of the President's time goes towards fundraising activities, we've excluded this cost in the "excluding fundraising" column. </t>
        </r>
      </text>
    </comment>
    <comment ref="L36" authorId="0">
      <text>
        <r>
          <rPr>
            <b/>
            <sz val="9"/>
            <color indexed="81"/>
            <rFont val="Calibri"/>
            <family val="2"/>
          </rPr>
          <t>Author:</t>
        </r>
        <r>
          <rPr>
            <sz val="9"/>
            <color indexed="81"/>
            <rFont val="Calibri"/>
            <family val="2"/>
          </rPr>
          <t xml:space="preserve">
This is our guess based on what it looks like GiveDirectly has designated for fundraising on its budget sheet. It's possible this is a low estimate, as our conversations with GiveDirectly in mid-2015 indicated that it was considering spending $6-9 million on fundraising over the next several years. See: http://blog.givewell.org/2015/08/03/good-ventures-25-million-grant-to-givedirectly/</t>
        </r>
      </text>
    </comment>
    <comment ref="B44" authorId="0">
      <text>
        <r>
          <rPr>
            <b/>
            <sz val="9"/>
            <color indexed="81"/>
            <rFont val="Calibri"/>
            <family val="2"/>
          </rPr>
          <t>Author:</t>
        </r>
        <r>
          <rPr>
            <sz val="9"/>
            <color indexed="81"/>
            <rFont val="Calibri"/>
            <family val="2"/>
          </rPr>
          <t xml:space="preserve">
Included because the cost of cellphones are subtracted from recipients' transfers</t>
        </r>
      </text>
    </comment>
    <comment ref="K51" authorId="0">
      <text>
        <r>
          <rPr>
            <b/>
            <sz val="9"/>
            <color indexed="81"/>
            <rFont val="Calibri"/>
            <family val="2"/>
          </rPr>
          <t xml:space="preserve">Rebecca Raible
</t>
        </r>
        <r>
          <rPr>
            <sz val="9"/>
            <color indexed="81"/>
            <rFont val="Calibri"/>
            <family val="2"/>
          </rPr>
          <t xml:space="preserve">GiveDirectly's president's time was not paid before FY 2014. GiveDirectly started in 2009. We believe this means that GD's president's salary is not included for:
FY 2010 (2009-2010)
FY 2011 (2010-2011)
FY 2012 (2011-2012)
FY 2013 (2012-2013)
We estimate the value of a President's time at $100,000 per year. Since it is our understanding that most of the President's time goes towards fundraising activities, we've excluded this cost in the "excluding fundraising" column. </t>
        </r>
      </text>
    </comment>
  </commentList>
</comments>
</file>

<file path=xl/comments2.xml><?xml version="1.0" encoding="utf-8"?>
<comments xmlns="http://schemas.openxmlformats.org/spreadsheetml/2006/main">
  <authors>
    <author>Author</author>
  </authors>
  <commentList>
    <comment ref="G22" authorId="0">
      <text>
        <r>
          <rPr>
            <b/>
            <sz val="9"/>
            <color indexed="81"/>
            <rFont val="Calibri"/>
            <family val="2"/>
          </rPr>
          <t>Author:</t>
        </r>
        <r>
          <rPr>
            <sz val="9"/>
            <color indexed="81"/>
            <rFont val="Calibri"/>
            <family val="2"/>
          </rPr>
          <t xml:space="preserve">
This "FY" is based on GiveDirectly's old fiscal year, from September to August. In actuality, GiveDirectly's fiscal year for 2015 is from March to February, but we ignore that here to make the comparison neater.</t>
        </r>
      </text>
    </comment>
    <comment ref="H23" authorId="0">
      <text>
        <r>
          <rPr>
            <b/>
            <sz val="9"/>
            <color indexed="81"/>
            <rFont val="Calibri"/>
            <family val="2"/>
          </rPr>
          <t>Author:</t>
        </r>
        <r>
          <rPr>
            <sz val="9"/>
            <color indexed="81"/>
            <rFont val="Calibri"/>
            <family val="2"/>
          </rPr>
          <t xml:space="preserve">
In 2015, GiveDirectly changed its fiscal year from September - August to March - February. The intermediate period represents the time from the end of FY 2014 (Aug 31, 2014) to the start of FY 2015 (March 1, 2015)</t>
        </r>
      </text>
    </comment>
    <comment ref="H24" authorId="0">
      <text>
        <r>
          <rPr>
            <b/>
            <sz val="9"/>
            <color indexed="81"/>
            <rFont val="Calibri"/>
            <family val="2"/>
          </rPr>
          <t>Author:</t>
        </r>
        <r>
          <rPr>
            <sz val="9"/>
            <color indexed="81"/>
            <rFont val="Calibri"/>
            <family val="2"/>
          </rPr>
          <t xml:space="preserve">
In 2015, GiveDirectly changed its FY to be March - February.</t>
        </r>
      </text>
    </comment>
  </commentList>
</comments>
</file>

<file path=xl/comments3.xml><?xml version="1.0" encoding="utf-8"?>
<comments xmlns="http://schemas.openxmlformats.org/spreadsheetml/2006/main">
  <authors>
    <author>Author</author>
  </authors>
  <commentList>
    <comment ref="AK6" authorId="0">
      <text>
        <r>
          <rPr>
            <b/>
            <sz val="9"/>
            <color indexed="81"/>
            <rFont val="Calibri"/>
            <family val="2"/>
          </rPr>
          <t>Author:</t>
        </r>
        <r>
          <rPr>
            <sz val="9"/>
            <color indexed="81"/>
            <rFont val="Calibri"/>
            <family val="2"/>
          </rPr>
          <t xml:space="preserve">
Note that the total Direct Grants fromthe "2015-Total spend + efficiency"sheet (which should include both committed and transferred grants) doesn't match the total committed transfers to date here (which should also include all committed and transferred grants); our best guess is that this is due to changes in how transfers and costs are calculated over time.</t>
        </r>
      </text>
    </comment>
    <comment ref="AC11" authorId="0">
      <text>
        <r>
          <rPr>
            <b/>
            <sz val="9"/>
            <color indexed="81"/>
            <rFont val="Calibri"/>
            <family val="2"/>
          </rPr>
          <t>Author:</t>
        </r>
        <r>
          <rPr>
            <sz val="9"/>
            <color indexed="81"/>
            <rFont val="Calibri"/>
            <family val="2"/>
          </rPr>
          <t xml:space="preserve">
In our 2014 review of GiveDirectly (http://www.givewell.org/node/2361/) we note that GiveDirectly has set aside $2 million for reserves.</t>
        </r>
      </text>
    </comment>
    <comment ref="K17" authorId="0">
      <text>
        <r>
          <rPr>
            <b/>
            <sz val="9"/>
            <color indexed="81"/>
            <rFont val="Calibri"/>
            <family val="2"/>
          </rPr>
          <t>Author:</t>
        </r>
        <r>
          <rPr>
            <sz val="9"/>
            <color indexed="81"/>
            <rFont val="Calibri"/>
            <family val="2"/>
          </rPr>
          <t xml:space="preserve">
Note that http://files.givewell.org/files/conversations/20130717%20GD%20-%20GW%20update%20(public).pdf seems to approximately match the estimate we've come up with here (see pg. 3). </t>
        </r>
      </text>
    </comment>
    <comment ref="N19" authorId="0">
      <text>
        <r>
          <rPr>
            <b/>
            <sz val="9"/>
            <color indexed="81"/>
            <rFont val="Calibri"/>
            <family val="2"/>
          </rPr>
          <t>Author:</t>
        </r>
        <r>
          <rPr>
            <sz val="9"/>
            <color indexed="81"/>
            <rFont val="Calibri"/>
            <family val="2"/>
          </rPr>
          <t xml:space="preserve">
Note that our estimate for GiveDirectly's revenue in FY 2013 matches GiveDirectly's I-990 (https://www.givedirectly.org/pdf/FY2013Form990.pdf). GiveDirectly reports $5.4 in revenue. We have $2.4 million +$1.3 million + $1.1 million + $.6 million =$5.4 million. </t>
        </r>
      </text>
    </comment>
    <comment ref="Q19" authorId="0">
      <text>
        <r>
          <rPr>
            <b/>
            <sz val="9"/>
            <color indexed="81"/>
            <rFont val="Calibri"/>
            <family val="2"/>
          </rPr>
          <t>Author:</t>
        </r>
        <r>
          <rPr>
            <sz val="9"/>
            <color indexed="81"/>
            <rFont val="Calibri"/>
            <family val="2"/>
          </rPr>
          <t xml:space="preserve">
Note that this estimate does not quite match with data we have from another source. On pg. 7 of http://files.givewell.org/files/DWDA%202009/GiveDirectly/20140723_GW%20GD%20quarterly%20update.pdf, we see that in Q2 of FY 2014 (December 2013 - February 2014), GiveDirectly claims to have raised only $9 million, and in Q1 of FY 2014 (September 2013-November 2013), GiveDirectly only raised$ 0.6 million. This would imply that in Q4 of CY 2013 (October 2013-December 2013), GiveDirectly could not have raised $12.5 million. </t>
        </r>
      </text>
    </comment>
    <comment ref="T19" authorId="0">
      <text>
        <r>
          <rPr>
            <b/>
            <sz val="9"/>
            <color indexed="81"/>
            <rFont val="Calibri"/>
            <family val="2"/>
          </rPr>
          <t>Author:</t>
        </r>
        <r>
          <rPr>
            <sz val="9"/>
            <color indexed="81"/>
            <rFont val="Calibri"/>
            <family val="2"/>
          </rPr>
          <t xml:space="preserve">
Note that this estimate does not quite match with data we have from another source. On pg. 7 of http://files.givewell.org/files/DWDA%202009/GiveDirectly/20140723_GW%20GD%20quarterly%20update.pdf, we see that in Q2 of FY 2014 (December 2013 - February 2014), GiveDirectly claims to have raised  $9 million, and in Q3 of FY 2014 (March 2014-May 2014), GiveDirectlyraised $6.1 million, for a total of $15.1 million. Given these large numbers, it seems inconsistent that GiveDirectly would only have raised $1.9 million in January-March 2014 (especially given that we currently have April 2014 -June 2014 estimated at $1.4 million.</t>
        </r>
      </text>
    </comment>
    <comment ref="Y19" authorId="0">
      <text>
        <r>
          <rPr>
            <b/>
            <sz val="9"/>
            <color indexed="81"/>
            <rFont val="Calibri"/>
            <family val="2"/>
          </rPr>
          <t>Author:</t>
        </r>
        <r>
          <rPr>
            <sz val="9"/>
            <color indexed="81"/>
            <rFont val="Calibri"/>
            <family val="2"/>
          </rPr>
          <t xml:space="preserve">
Note that the revenues we have listed for GiveDirectly for FY2014 do not seem to match its public I-990 (https://www.givedirectly.org/pdf/FY2014Form990.pdf). We have $12.5 million + $1.9 million +$1.4 million +3.6 million = $19.4 million, but GiveDirectly reports $17.4 million in revenue. We are not sure what the cause of the discrepancy is, but would guess it has something to do with our guesses about the timing of the revenue. </t>
        </r>
      </text>
    </comment>
    <comment ref="K20" authorId="0">
      <text>
        <r>
          <rPr>
            <b/>
            <sz val="9"/>
            <color indexed="81"/>
            <rFont val="Calibri"/>
            <family val="2"/>
          </rPr>
          <t>Author:</t>
        </r>
        <r>
          <rPr>
            <sz val="9"/>
            <color indexed="81"/>
            <rFont val="Calibri"/>
            <family val="2"/>
          </rPr>
          <t xml:space="preserve">
Note that http://files.givewell.org/files/conversations/20130717%20GD%20-%20GW%20update%20(public).pdf seems to approximately match the estimate we've come up with here (see pg. 3). </t>
        </r>
      </text>
    </comment>
  </commentList>
</comments>
</file>

<file path=xl/comments4.xml><?xml version="1.0" encoding="utf-8"?>
<comments xmlns="http://schemas.openxmlformats.org/spreadsheetml/2006/main">
  <authors>
    <author>Author</author>
  </authors>
  <commentList>
    <comment ref="B4" authorId="0">
      <text>
        <r>
          <rPr>
            <b/>
            <sz val="9"/>
            <color indexed="81"/>
            <rFont val="Calibri"/>
            <family val="2"/>
          </rPr>
          <t>Author:</t>
        </r>
        <r>
          <rPr>
            <sz val="9"/>
            <color indexed="81"/>
            <rFont val="Calibri"/>
            <family val="2"/>
          </rPr>
          <t xml:space="preserve">
From "GiveDirectly, board spending breakdown"</t>
        </r>
      </text>
    </comment>
    <comment ref="B8" authorId="0">
      <text>
        <r>
          <rPr>
            <b/>
            <sz val="9"/>
            <color indexed="81"/>
            <rFont val="Calibri"/>
            <family val="2"/>
          </rPr>
          <t>Author:</t>
        </r>
        <r>
          <rPr>
            <sz val="9"/>
            <color indexed="81"/>
            <rFont val="Calibri"/>
            <family val="2"/>
          </rPr>
          <t xml:space="preserve">
From "20131002 Set up and Domestic expenses for GW"</t>
        </r>
      </text>
    </comment>
    <comment ref="C19" authorId="0">
      <text>
        <r>
          <rPr>
            <b/>
            <sz val="9"/>
            <color indexed="81"/>
            <rFont val="Calibri"/>
            <family val="2"/>
          </rPr>
          <t>Author:</t>
        </r>
        <r>
          <rPr>
            <sz val="9"/>
            <color indexed="81"/>
            <rFont val="Calibri"/>
            <family val="2"/>
          </rPr>
          <t xml:space="preserve">
Source: GiveDirectly, Operating efficiency as of 31 August 2012</t>
        </r>
      </text>
    </comment>
    <comment ref="D19" authorId="0">
      <text>
        <r>
          <rPr>
            <b/>
            <sz val="9"/>
            <color indexed="81"/>
            <rFont val="Calibri"/>
            <family val="2"/>
          </rPr>
          <t>Author:</t>
        </r>
        <r>
          <rPr>
            <sz val="9"/>
            <color indexed="81"/>
            <rFont val="Calibri"/>
            <family val="2"/>
          </rPr>
          <t xml:space="preserve">
Source: Sheet: Campaign efficiency FY 2013, provided by GiveDirectly</t>
        </r>
      </text>
    </comment>
    <comment ref="E19" authorId="0">
      <text>
        <r>
          <rPr>
            <b/>
            <sz val="9"/>
            <color indexed="81"/>
            <rFont val="Calibri"/>
            <family val="2"/>
          </rPr>
          <t xml:space="preserve">Eliza Scheffler: Campaign costs in the FY 2014+ column actually extend to transfers sent and pending through October 2014.
</t>
        </r>
        <r>
          <rPr>
            <sz val="9"/>
            <color indexed="81"/>
            <rFont val="Calibri"/>
            <family val="2"/>
          </rPr>
          <t>Source: Sheet: Campaign efficiency FY 2014, provided by GiveDirectly</t>
        </r>
      </text>
    </comment>
    <comment ref="C25" authorId="0">
      <text>
        <r>
          <rPr>
            <b/>
            <sz val="9"/>
            <color indexed="81"/>
            <rFont val="Calibri"/>
            <family val="2"/>
          </rPr>
          <t>Author:</t>
        </r>
        <r>
          <rPr>
            <sz val="9"/>
            <color indexed="81"/>
            <rFont val="Calibri"/>
            <family val="2"/>
          </rPr>
          <t xml:space="preserve">
GiveDirectly did not use this cost category in its pre-FY 2013 campaign efficiency reports.</t>
        </r>
      </text>
    </comment>
    <comment ref="C26" authorId="0">
      <text>
        <r>
          <rPr>
            <b/>
            <sz val="9"/>
            <color indexed="81"/>
            <rFont val="Calibri"/>
            <family val="2"/>
          </rPr>
          <t>Author:</t>
        </r>
        <r>
          <rPr>
            <sz val="9"/>
            <color indexed="81"/>
            <rFont val="Calibri"/>
            <family val="2"/>
          </rPr>
          <t xml:space="preserve">
GiveDirectly did not use this cost category in its pre-FY 2013 campaign efficiency reports.</t>
        </r>
      </text>
    </comment>
    <comment ref="C31" authorId="0">
      <text>
        <r>
          <rPr>
            <b/>
            <sz val="9"/>
            <color indexed="81"/>
            <rFont val="Calibri"/>
            <family val="2"/>
          </rPr>
          <t>Author:</t>
        </r>
        <r>
          <rPr>
            <sz val="9"/>
            <color indexed="81"/>
            <rFont val="Calibri"/>
            <family val="2"/>
          </rPr>
          <t xml:space="preserve">
Source: GiveDirectly, Operating efficiency as of 31 August 2012</t>
        </r>
      </text>
    </comment>
    <comment ref="D31" authorId="0">
      <text>
        <r>
          <rPr>
            <b/>
            <sz val="9"/>
            <color indexed="81"/>
            <rFont val="Calibri"/>
            <family val="2"/>
          </rPr>
          <t>Author:</t>
        </r>
        <r>
          <rPr>
            <sz val="9"/>
            <color indexed="81"/>
            <rFont val="Calibri"/>
            <family val="2"/>
          </rPr>
          <t xml:space="preserve">
Source: Sheet: Campaign efficiency FY 2013, provided by GiveDirectly</t>
        </r>
      </text>
    </comment>
    <comment ref="E31" authorId="0">
      <text>
        <r>
          <rPr>
            <b/>
            <sz val="9"/>
            <color indexed="81"/>
            <rFont val="Calibri"/>
            <family val="2"/>
          </rPr>
          <t>Author:
Campaign costs in the FY 2014 column actually extend to transfers sent and pending through October 2014.</t>
        </r>
        <r>
          <rPr>
            <sz val="9"/>
            <color indexed="81"/>
            <rFont val="Calibri"/>
            <family val="2"/>
          </rPr>
          <t xml:space="preserve">
Source: Sheet: Campaign efficiency FY 2014, provided by GiveDirectly</t>
        </r>
      </text>
    </comment>
    <comment ref="F32" authorId="0">
      <text>
        <r>
          <rPr>
            <b/>
            <sz val="9"/>
            <color indexed="81"/>
            <rFont val="Calibri"/>
            <family val="2"/>
          </rPr>
          <t>Author:</t>
        </r>
        <r>
          <rPr>
            <sz val="9"/>
            <color indexed="81"/>
            <rFont val="Calibri"/>
            <family val="2"/>
          </rPr>
          <t xml:space="preserve">
Future costs are based on recipients enrolled through Oct 2014 for in-progress campaigns Ke-201403 and Ug-201404, which extends beyond the end of FY 14 (August 31, 2014).</t>
        </r>
      </text>
    </comment>
    <comment ref="B46" authorId="0">
      <text>
        <r>
          <rPr>
            <b/>
            <sz val="9"/>
            <color indexed="81"/>
            <rFont val="Calibri"/>
            <family val="2"/>
          </rPr>
          <t>Author:</t>
        </r>
        <r>
          <rPr>
            <sz val="9"/>
            <color indexed="81"/>
            <rFont val="Calibri"/>
            <family val="2"/>
          </rPr>
          <t xml:space="preserve">
Source: "GiveDirectly, GW scratch sheet"
</t>
        </r>
      </text>
    </comment>
    <comment ref="B47" authorId="0">
      <text>
        <r>
          <rPr>
            <b/>
            <sz val="9"/>
            <color indexed="81"/>
            <rFont val="Calibri"/>
            <family val="2"/>
          </rPr>
          <t>Author:</t>
        </r>
        <r>
          <rPr>
            <sz val="9"/>
            <color indexed="81"/>
            <rFont val="Calibri"/>
            <family val="2"/>
          </rPr>
          <t xml:space="preserve">
Source: "GiveDirectly, GW scratch sheet"</t>
        </r>
      </text>
    </comment>
  </commentList>
</comments>
</file>

<file path=xl/comments5.xml><?xml version="1.0" encoding="utf-8"?>
<comments xmlns="http://schemas.openxmlformats.org/spreadsheetml/2006/main">
  <authors>
    <author>Author</author>
  </authors>
  <commentList>
    <comment ref="B5" authorId="0">
      <text>
        <r>
          <rPr>
            <b/>
            <sz val="9"/>
            <color indexed="81"/>
            <rFont val="Calibri"/>
            <family val="2"/>
          </rPr>
          <t>Author:</t>
        </r>
        <r>
          <rPr>
            <sz val="9"/>
            <color indexed="81"/>
            <rFont val="Calibri"/>
            <family val="2"/>
          </rPr>
          <t xml:space="preserve">
FY 2010 revenue from Page 2, GiveDirectly's FY 2010 Form 990, http://www.givedirectly.org/pdf/FY2010Form990.pdf. FY 2011 and FY 2012 revenue from GiveDirectly, 2013 Annual Report, Pg 11 http://www.givedirectly.org/pdf/GiveDirectly2013AnnualReport.pdf</t>
        </r>
      </text>
    </comment>
    <comment ref="B7" authorId="0">
      <text>
        <r>
          <rPr>
            <b/>
            <sz val="9"/>
            <color indexed="81"/>
            <rFont val="Calibri"/>
            <family val="2"/>
          </rPr>
          <t>Author:</t>
        </r>
        <r>
          <rPr>
            <sz val="9"/>
            <color indexed="81"/>
            <rFont val="Calibri"/>
            <family val="2"/>
          </rPr>
          <t xml:space="preserve">
Eliza Scheffler:
GiveDirectly, 2013 Annual Report, Pg 11 http://www.givedirectly.org/pdf/GiveDirectly2013AnnualReport.pdf</t>
        </r>
      </text>
    </comment>
    <comment ref="B9" authorId="0">
      <text>
        <r>
          <rPr>
            <b/>
            <sz val="9"/>
            <color indexed="81"/>
            <rFont val="Calibri"/>
            <family val="2"/>
          </rPr>
          <t>Author:</t>
        </r>
        <r>
          <rPr>
            <sz val="9"/>
            <color indexed="81"/>
            <rFont val="Calibri"/>
            <family val="2"/>
          </rPr>
          <t xml:space="preserve">
Graph, Page 5, "20140929 GW-GD annual update"</t>
        </r>
      </text>
    </comment>
    <comment ref="A10" authorId="0">
      <text>
        <r>
          <rPr>
            <b/>
            <sz val="9"/>
            <color indexed="81"/>
            <rFont val="Calibri"/>
            <family val="2"/>
          </rPr>
          <t>Author:</t>
        </r>
        <r>
          <rPr>
            <sz val="9"/>
            <color indexed="81"/>
            <rFont val="Calibri"/>
            <family val="2"/>
          </rPr>
          <t xml:space="preserve">
Campaign costs for FY 2014+ extend to transfers sent and pending through October 2014 (standard fiscal year ended Aug. 31, 2014)</t>
        </r>
      </text>
    </comment>
  </commentList>
</comments>
</file>

<file path=xl/comments6.xml><?xml version="1.0" encoding="utf-8"?>
<comments xmlns="http://schemas.openxmlformats.org/spreadsheetml/2006/main">
  <authors>
    <author>Author</author>
  </authors>
  <commentList>
    <comment ref="J7" authorId="0">
      <text>
        <r>
          <rPr>
            <b/>
            <sz val="9"/>
            <color indexed="81"/>
            <rFont val="Tahoma"/>
            <family val="2"/>
          </rPr>
          <t>Author:</t>
        </r>
        <r>
          <rPr>
            <sz val="9"/>
            <color indexed="81"/>
            <rFont val="Tahoma"/>
            <family val="2"/>
          </rPr>
          <t xml:space="preserve">
this refers to an internal update not reported to GW previously</t>
        </r>
      </text>
    </comment>
    <comment ref="D8" authorId="0">
      <text>
        <r>
          <rPr>
            <b/>
            <sz val="9"/>
            <color indexed="81"/>
            <rFont val="Tahoma"/>
            <family val="2"/>
          </rPr>
          <t>Author:</t>
        </r>
        <r>
          <rPr>
            <sz val="9"/>
            <color indexed="81"/>
            <rFont val="Tahoma"/>
            <family val="2"/>
          </rPr>
          <t xml:space="preserve">
hard coded; carry over from Q3 FY14 report. Freezing efficiency reporting on this campaign</t>
        </r>
      </text>
    </comment>
    <comment ref="D17" authorId="0">
      <text>
        <r>
          <rPr>
            <b/>
            <sz val="9"/>
            <color indexed="81"/>
            <rFont val="Tahoma"/>
            <family val="2"/>
          </rPr>
          <t>Author:</t>
        </r>
        <r>
          <rPr>
            <sz val="9"/>
            <color indexed="81"/>
            <rFont val="Tahoma"/>
            <family val="2"/>
          </rPr>
          <t xml:space="preserve">
hard coded; carry over from Q3 FY14 report. Freezing efficiency reporting on this campaign</t>
        </r>
      </text>
    </comment>
    <comment ref="D26" authorId="0">
      <text>
        <r>
          <rPr>
            <b/>
            <sz val="9"/>
            <color indexed="81"/>
            <rFont val="Tahoma"/>
            <family val="2"/>
          </rPr>
          <t>Author:</t>
        </r>
        <r>
          <rPr>
            <sz val="9"/>
            <color indexed="81"/>
            <rFont val="Tahoma"/>
            <family val="2"/>
          </rPr>
          <t xml:space="preserve">
hard coded; carry over from Q3 FY14 report. Freezing efficiency reporting on this campaign</t>
        </r>
      </text>
    </comment>
  </commentList>
</comments>
</file>

<file path=xl/comments7.xml><?xml version="1.0" encoding="utf-8"?>
<comments xmlns="http://schemas.openxmlformats.org/spreadsheetml/2006/main">
  <authors>
    <author>Author</author>
  </authors>
  <commentList>
    <comment ref="B5" authorId="0">
      <text>
        <r>
          <rPr>
            <b/>
            <sz val="9"/>
            <color indexed="81"/>
            <rFont val="Calibri"/>
            <family val="2"/>
          </rPr>
          <t>Author:</t>
        </r>
        <r>
          <rPr>
            <sz val="9"/>
            <color indexed="81"/>
            <rFont val="Calibri"/>
            <family val="2"/>
          </rPr>
          <t xml:space="preserve">
Manually added pmts against committed transfers from FY12 liabilities</t>
        </r>
      </text>
    </comment>
    <comment ref="B23" authorId="0">
      <text>
        <r>
          <rPr>
            <b/>
            <sz val="9"/>
            <color indexed="81"/>
            <rFont val="Calibri"/>
            <family val="2"/>
          </rPr>
          <t>Author:</t>
        </r>
        <r>
          <rPr>
            <sz val="9"/>
            <color indexed="81"/>
            <rFont val="Calibri"/>
            <family val="2"/>
          </rPr>
          <t xml:space="preserve">
Manually added pmts against committed transfers from FY12 liability</t>
        </r>
      </text>
    </comment>
    <comment ref="A58" authorId="0">
      <text>
        <r>
          <rPr>
            <b/>
            <sz val="9"/>
            <color indexed="81"/>
            <rFont val="Tahoma"/>
            <family val="2"/>
          </rPr>
          <t>Author:</t>
        </r>
        <r>
          <rPr>
            <sz val="9"/>
            <color indexed="81"/>
            <rFont val="Tahoma"/>
            <family val="2"/>
          </rPr>
          <t xml:space="preserve">
Includes RCT, 200K, Google</t>
        </r>
      </text>
    </comment>
    <comment ref="A67" authorId="0">
      <text>
        <r>
          <rPr>
            <b/>
            <sz val="9"/>
            <color indexed="81"/>
            <rFont val="Tahoma"/>
            <family val="2"/>
          </rPr>
          <t>Author:</t>
        </r>
        <r>
          <rPr>
            <sz val="9"/>
            <color indexed="81"/>
            <rFont val="Tahoma"/>
            <family val="2"/>
          </rPr>
          <t xml:space="preserve">
Includes RCT, 200K, Google</t>
        </r>
      </text>
    </comment>
  </commentList>
</comments>
</file>

<file path=xl/sharedStrings.xml><?xml version="1.0" encoding="utf-8"?>
<sst xmlns="http://schemas.openxmlformats.org/spreadsheetml/2006/main" count="1556" uniqueCount="666">
  <si>
    <t>Revenue</t>
  </si>
  <si>
    <t>FY 2013</t>
  </si>
  <si>
    <t>FY 2014</t>
  </si>
  <si>
    <t>Transfers sent</t>
  </si>
  <si>
    <t>-</t>
  </si>
  <si>
    <t>Total</t>
  </si>
  <si>
    <t>Ke-RCT</t>
  </si>
  <si>
    <t>Ke-200K</t>
  </si>
  <si>
    <t>Ke-Nike</t>
  </si>
  <si>
    <t>Ke-Google</t>
  </si>
  <si>
    <t>Ke-201307</t>
  </si>
  <si>
    <t>Ke-201311</t>
  </si>
  <si>
    <t>Ug-201305</t>
  </si>
  <si>
    <t>Ke-201403</t>
  </si>
  <si>
    <t>Source: Email from Carolina Toth, GiveDirectly, October 17, 2014</t>
  </si>
  <si>
    <t>committed to existing recipients</t>
  </si>
  <si>
    <t>allocated for field (future recipients + expenses)</t>
  </si>
  <si>
    <t>allocated for domestic</t>
  </si>
  <si>
    <t>reserves</t>
  </si>
  <si>
    <t>unallocated</t>
  </si>
  <si>
    <t>Notes</t>
  </si>
  <si>
    <t>Amount</t>
  </si>
  <si>
    <t>Status of funding</t>
  </si>
  <si>
    <t>total</t>
  </si>
  <si>
    <t xml:space="preserve">that Kenya </t>
  </si>
  <si>
    <t xml:space="preserve">Assumptions </t>
  </si>
  <si>
    <t>Pace</t>
  </si>
  <si>
    <t>K hh / month</t>
  </si>
  <si>
    <t>$M/month Kenya</t>
  </si>
  <si>
    <t>$M/month Uganda</t>
  </si>
  <si>
    <t>Increase in transfer size due to inflation in KE</t>
  </si>
  <si>
    <t>Optimal $M/month</t>
  </si>
  <si>
    <t>KE efficiency</t>
  </si>
  <si>
    <t>Intermediate</t>
  </si>
  <si>
    <t>Ug efficiency</t>
  </si>
  <si>
    <t>Comfortable (current FO/FD ratio)</t>
  </si>
  <si>
    <t>Months</t>
  </si>
  <si>
    <t>Uganda pilot</t>
  </si>
  <si>
    <t>K hh</t>
  </si>
  <si>
    <t>$M</t>
  </si>
  <si>
    <t>Size</t>
  </si>
  <si>
    <t>Ug: # months required to increase pace</t>
  </si>
  <si>
    <t>Duration (months)</t>
  </si>
  <si>
    <t>Ke: # months required to increase pace</t>
  </si>
  <si>
    <t>2016 commitments as a % of 2015</t>
  </si>
  <si>
    <t>Note: Total room for funding (RFF) includes funds GD could to commit in both 2015 and 2016, in recognition that having funds ready one year in advance enables better planning and focus on operations</t>
  </si>
  <si>
    <t xml:space="preserve">Scenarios </t>
  </si>
  <si>
    <t>No new approvals in KE (Ugunja and Ukwala only)</t>
  </si>
  <si>
    <t>Unrestricted approvals, vanilla program: intermediate</t>
  </si>
  <si>
    <t>Unrestrited approvals, vanilla program: stretch</t>
  </si>
  <si>
    <t xml:space="preserve">$ M </t>
  </si>
  <si>
    <t>FD-months</t>
  </si>
  <si>
    <t>Kenya- rolling</t>
  </si>
  <si>
    <t>Ke-partnership</t>
  </si>
  <si>
    <t>Uganda- pilot</t>
  </si>
  <si>
    <t>Uganda-rolling</t>
  </si>
  <si>
    <t xml:space="preserve">Set up / buffer </t>
  </si>
  <si>
    <t>Funds committed 2015</t>
  </si>
  <si>
    <t xml:space="preserve">Total RFF </t>
  </si>
  <si>
    <t>Description of activities</t>
  </si>
  <si>
    <t>Finish GE in Kenya, send both FDs to Uganda</t>
  </si>
  <si>
    <t>Intermediate speed in Kenya for full year, pilot in Ug</t>
  </si>
  <si>
    <t>Optimal speed in Kenya for full year, pilot in Ug</t>
  </si>
  <si>
    <t>Room for more funding scenarios</t>
  </si>
  <si>
    <t>Note from GiveDirectly about this document: "We've outlined three scenarios that we think are the most useful, but have set up the excel with assumptions so that you can make and adjust your own scenarios as well. The scenarios are:
A) No new approvals in Kenya. You will notice the amount of funds we could move is higher than the $3M for Ugunja. This is because the approval process in Ukwala is going to be concluded on Tuesday, after a positive first meeting. Although wary of counting our chickens too soon, the official in Ukwala was incredibly supportive and already scheduled follow-on meeting with the Chiefs on Tuesday, at which time she said she would sign the formal agreement. 
B) The most likely scenario which involves increasing pace in Kenya for the whole year
C) A stretch scenario that involves a larger increase in pace and a shorter duration of a pilot in Uganda.
Transfers had not been pegged to inflation in the past, but we expect the board to approve this change in the late Oct. board meeting. We included the inflation assumption in this excel because it has an impact on the RFMF calculation, even though it is not finalized." (Source: Email from Carolina Toth, GiveDirectly, October 17, 2014)</t>
  </si>
  <si>
    <t>Campaign</t>
  </si>
  <si>
    <t>Campaign expenses through end Aug '13</t>
  </si>
  <si>
    <t>Last estimate (9-27-13)</t>
  </si>
  <si>
    <t>Variance</t>
  </si>
  <si>
    <t xml:space="preserve">Incurred </t>
  </si>
  <si>
    <t>Future</t>
  </si>
  <si>
    <t>Total Cost</t>
  </si>
  <si>
    <t>Per HH</t>
  </si>
  <si>
    <t>% of Total</t>
  </si>
  <si>
    <t>Direct Grants To Households</t>
  </si>
  <si>
    <t>Enrollment Costs</t>
  </si>
  <si>
    <t>Transfer Costs</t>
  </si>
  <si>
    <t>Follow-up Costs</t>
  </si>
  <si>
    <t>Core operations</t>
  </si>
  <si>
    <t>Core Operations - general</t>
  </si>
  <si>
    <t>Total spend</t>
  </si>
  <si>
    <t>TOTAL - Ke less Nike</t>
  </si>
  <si>
    <t>notes:</t>
  </si>
  <si>
    <t>-we are no longer updating efficiency for RCT, 200K and Nike as these campaigns are now closed</t>
  </si>
  <si>
    <t>-some changes relative to prior periods are driven by FX variance and revisions to how some costs were allocated either as a result of a policy change or of finding and correcting a bookkeeping error</t>
  </si>
  <si>
    <t>-future expenses based on budgets updated in Oct 2014 for in-progress campaigns Ke-201403 and Ug-201404</t>
  </si>
  <si>
    <t># Recipients</t>
  </si>
  <si>
    <t>Last efficiency estimate (7-23-14)</t>
  </si>
  <si>
    <t>Ug-201404</t>
  </si>
  <si>
    <t>TOTAL - Ug</t>
  </si>
  <si>
    <t>TOTAL</t>
  </si>
  <si>
    <t>GiveWell added this table</t>
  </si>
  <si>
    <t>HHs</t>
  </si>
  <si>
    <t>GiveWell added this column</t>
  </si>
  <si>
    <t>Give Direct Inc.</t>
  </si>
  <si>
    <t>Profit &amp; Loss</t>
  </si>
  <si>
    <t>-All line items &lt;$500 have been annotated; further detail available as needed</t>
  </si>
  <si>
    <t>September 2013 through August 2014</t>
  </si>
  <si>
    <t>-We made a policy change in Q3FY to amortize set-up expenses that are investments in depreciable assets that support ongoing ops (e.g., computers/phones). We continue to keep one-time costs that do not directly support ongoing ops, in Set-up (e.g., legal fees for NGO registration)</t>
  </si>
  <si>
    <t>Ke-Setup</t>
  </si>
  <si>
    <t>notes</t>
  </si>
  <si>
    <t>Ug-Setup</t>
  </si>
  <si>
    <t>Marketing</t>
  </si>
  <si>
    <t>International Expansion</t>
  </si>
  <si>
    <t>Ordinary Income/Expense</t>
  </si>
  <si>
    <t>Expense</t>
  </si>
  <si>
    <t>Direct grants to households</t>
  </si>
  <si>
    <t>Household Transfers</t>
  </si>
  <si>
    <t>Committed Transfers</t>
  </si>
  <si>
    <t>Pmts against committed trsfers</t>
  </si>
  <si>
    <t>Cell phones for recipients</t>
  </si>
  <si>
    <t>Total Direct grants to households</t>
  </si>
  <si>
    <t>Allocated Transfer Fees</t>
  </si>
  <si>
    <t>Mobile Money Fees - Transfers</t>
  </si>
  <si>
    <t>Committed MMT Fees</t>
  </si>
  <si>
    <t>Pmts against committed MMT Fees</t>
  </si>
  <si>
    <t>Foreign Exchange Costs</t>
  </si>
  <si>
    <t>Total Transfer Costs</t>
  </si>
  <si>
    <t>Field staff wage</t>
  </si>
  <si>
    <t>Field staff allowance</t>
  </si>
  <si>
    <t>Field staff insurance</t>
  </si>
  <si>
    <t>Field staff recruit &amp; training</t>
  </si>
  <si>
    <t>FO wage</t>
  </si>
  <si>
    <t>Mobile Money Fees-S&amp;O</t>
  </si>
  <si>
    <t>SFO wage</t>
  </si>
  <si>
    <t>Supplies</t>
  </si>
  <si>
    <t xml:space="preserve">raincoats, boots, helmets for staff; is allocated to campaigns over time </t>
  </si>
  <si>
    <t>Total Enrollment Costs</t>
  </si>
  <si>
    <t>Total Follow-up Costs</t>
  </si>
  <si>
    <t>Management</t>
  </si>
  <si>
    <t>COO time</t>
  </si>
  <si>
    <t>COO-Intl time spent on legal, compliance and govnt affairs</t>
  </si>
  <si>
    <t>COO-Intl time on fundraising</t>
  </si>
  <si>
    <t>FD time</t>
  </si>
  <si>
    <t>SFO time</t>
  </si>
  <si>
    <t>Total Management</t>
  </si>
  <si>
    <t>Total Core Operations - general</t>
  </si>
  <si>
    <t>Accounting</t>
  </si>
  <si>
    <t>Accounting Fees</t>
  </si>
  <si>
    <t>Uganda accountant fees for audit and filings</t>
  </si>
  <si>
    <t>share of accounting fees billed to fundraising operation (shared with field)</t>
  </si>
  <si>
    <t>Bank Fees</t>
  </si>
  <si>
    <t>bank fees (includes reversal of erroneous deposit of $595)</t>
  </si>
  <si>
    <t>Mobile Money Fees</t>
  </si>
  <si>
    <t>Payroll Processing</t>
  </si>
  <si>
    <t>share of payroll fees billed to fundraising operation</t>
  </si>
  <si>
    <t>Total Accounting</t>
  </si>
  <si>
    <t>Infrastructure</t>
  </si>
  <si>
    <t>Office equipment</t>
  </si>
  <si>
    <t>furniture; internet installation; and generator for Kisumu office</t>
  </si>
  <si>
    <t>Office supplies</t>
  </si>
  <si>
    <t>stationery, misc. supplies, whiteboards, office cleaning</t>
  </si>
  <si>
    <t>Postage &amp; Delivery</t>
  </si>
  <si>
    <t>pre-printed, pre-stamped envelopes for receipt mailing</t>
  </si>
  <si>
    <t>Printing and graphics</t>
  </si>
  <si>
    <t>business cards; video for funder presentation</t>
  </si>
  <si>
    <t>Rent/Lease</t>
  </si>
  <si>
    <t>security deposit on Kisumu office</t>
  </si>
  <si>
    <t>NYC office rent</t>
  </si>
  <si>
    <t>Telecommunications</t>
  </si>
  <si>
    <t>VoIP, conference call line, Skype</t>
  </si>
  <si>
    <t>Total Infrastructure</t>
  </si>
  <si>
    <t>IT</t>
  </si>
  <si>
    <t>IT equipment</t>
  </si>
  <si>
    <t>computers; data collection phones and batteries</t>
  </si>
  <si>
    <t>laptops</t>
  </si>
  <si>
    <t>laptops and monitors</t>
  </si>
  <si>
    <t>IT supplies</t>
  </si>
  <si>
    <t>Salesforce implementation (consulting and training fees); software and apps (Dropbox, Asana etc)</t>
  </si>
  <si>
    <t>Website</t>
  </si>
  <si>
    <t>AWS; Github; domain registry</t>
  </si>
  <si>
    <t>Total IT</t>
  </si>
  <si>
    <t>Legal and Compliance</t>
  </si>
  <si>
    <t>Corporate Insurance</t>
  </si>
  <si>
    <t>D&amp;O and general liability insurance</t>
  </si>
  <si>
    <t>Legal Fees</t>
  </si>
  <si>
    <t>lawyer fee for lease review</t>
  </si>
  <si>
    <t>lawyer fee for NGO registration</t>
  </si>
  <si>
    <t>legal fees associated with Segovia split (shared with Segovia)</t>
  </si>
  <si>
    <t>Regulatory filings</t>
  </si>
  <si>
    <t>work permits for US staff in Kenya</t>
  </si>
  <si>
    <t>misc state filings</t>
  </si>
  <si>
    <t>Total Legal and Compliance</t>
  </si>
  <si>
    <t>Employee per diem - other</t>
  </si>
  <si>
    <t xml:space="preserve">COO-Intl time spent on legal &amp; compliance </t>
  </si>
  <si>
    <t>COO-Intl time spent on fundraising</t>
  </si>
  <si>
    <t>Disability Insurance</t>
  </si>
  <si>
    <t>disability insurance policy</t>
  </si>
  <si>
    <t>Domestic time</t>
  </si>
  <si>
    <t>COO-Domestic time on org set-up in 2013</t>
  </si>
  <si>
    <t>domestic staff time spent on fundraising (President, COO-Domestic, Outreach Coordinators (2), Program Assistant, Manager People and Partnerships)</t>
  </si>
  <si>
    <t>Employee travel - airfare</t>
  </si>
  <si>
    <t>COO-Intl travel for govnt relations work (primarily to/from NBO)</t>
  </si>
  <si>
    <t>domestic staff travel for fundraising</t>
  </si>
  <si>
    <t>Employee travel - other</t>
  </si>
  <si>
    <t>COO-Intl travel between Mbale/Kampala</t>
  </si>
  <si>
    <t>Employee travel - per diem</t>
  </si>
  <si>
    <t>COO-Intl per diem costs for travel in NBO on govnt relations work</t>
  </si>
  <si>
    <t>FD time on legal, compliance, govnt relations</t>
  </si>
  <si>
    <t>FD time spent on fundraising</t>
  </si>
  <si>
    <t>FO time</t>
  </si>
  <si>
    <t>Health insurance</t>
  </si>
  <si>
    <t xml:space="preserve">insurance for Kenya staff paid upfront; is allocated to campaigns over time </t>
  </si>
  <si>
    <t>health expense tied to COO-Domestic time (row 76)</t>
  </si>
  <si>
    <t>health expense tied to staff time spent on fundraising</t>
  </si>
  <si>
    <t>In-country Payroll Tax Expense</t>
  </si>
  <si>
    <t>Other field staff time</t>
  </si>
  <si>
    <t>Recruiting and training</t>
  </si>
  <si>
    <t>job postings; team retreat; team events</t>
  </si>
  <si>
    <t>US Payroll Tax Expense</t>
  </si>
  <si>
    <t>payroll expense tied to COO-Domestic time (row 76)</t>
  </si>
  <si>
    <t>payroll expense tied to staff time spent on fundraising</t>
  </si>
  <si>
    <t>Other core ops-campaign</t>
  </si>
  <si>
    <t>Total Core operations</t>
  </si>
  <si>
    <t>Total Expense</t>
  </si>
  <si>
    <t>Kenya</t>
  </si>
  <si>
    <t xml:space="preserve">IT Costs </t>
  </si>
  <si>
    <t>Uganda</t>
  </si>
  <si>
    <t>Registration Fees</t>
  </si>
  <si>
    <t xml:space="preserve">Legal Fees </t>
  </si>
  <si>
    <t>Outreach Costs</t>
  </si>
  <si>
    <t xml:space="preserve">Total Start up and Outreach </t>
  </si>
  <si>
    <t>Total set-up</t>
  </si>
  <si>
    <t>Source: "Set up and Domestic expenses for GW, October 2, 2013"</t>
  </si>
  <si>
    <t>Give Direct, Inc.</t>
  </si>
  <si>
    <t>All line items &lt;$500 have been annotated</t>
  </si>
  <si>
    <t>September 2012 through August 2013</t>
  </si>
  <si>
    <t>Core Operations</t>
  </si>
  <si>
    <t>COO-Intl time spent on, for example, pursuing NGO registration, establishing new payment provider partnerships, meeting with govnt officials</t>
  </si>
  <si>
    <t>COO-Intl time spent on fundraising visits in field</t>
  </si>
  <si>
    <t>FD time spent on, for example, finding office space, setting up office, opening bank accounts, meeting with accountants and lawyers on compliance matters</t>
  </si>
  <si>
    <t>FD time spent on fundraising visits in field</t>
  </si>
  <si>
    <t>COO-Domestic time spent on Ug set up and org systems building</t>
  </si>
  <si>
    <t>COO-Domestic time spent on fundraising work</t>
  </si>
  <si>
    <t xml:space="preserve">Pro-rated health insurance expenses for COO-Intl and COO-Domestic time spent on Ug set up </t>
  </si>
  <si>
    <t>Pro-rated health insurance expenses for COO-Intl and COO-Domestic time spent on fundraising</t>
  </si>
  <si>
    <t>Pro-rated payroll tax expenses for COO-Intl and COO-Domestic time spent on Ug set up</t>
  </si>
  <si>
    <t>Pro-rated payroll tax expenses for COO-Intl and COO-Domestic time spent on Fundraising</t>
  </si>
  <si>
    <t>COO-Domestic RT airfare to Uganda for set up work</t>
  </si>
  <si>
    <t>COO-Intl and COO-Domestic per diems for Ug travel for set up work</t>
  </si>
  <si>
    <t>Deposit for office lease</t>
  </si>
  <si>
    <t>Deposit and 2 mo rent for NYC office space</t>
  </si>
  <si>
    <t>Furniture and equipment (e.g., printer, curtains) for office)</t>
  </si>
  <si>
    <t>Ug bank account charges associated with set up work in Apr-May</t>
  </si>
  <si>
    <t xml:space="preserve">Legal fees for NGO registration </t>
  </si>
  <si>
    <t>Laptops for staff</t>
  </si>
  <si>
    <t>Laptops for staff; smartphones; mobile phones for pilot</t>
  </si>
  <si>
    <t>Software (DropBox, QuickBooks)</t>
  </si>
  <si>
    <t>Source: "GiveDirectly, Board spending breakdown" (http://www.givewell.org/files/DWDA%202009/GiveDirectly/board%20spending.pdf)</t>
  </si>
  <si>
    <t>Pre-FY 2013</t>
  </si>
  <si>
    <t>International expansion</t>
  </si>
  <si>
    <t>Excluded from total expenses</t>
  </si>
  <si>
    <t>Set up</t>
  </si>
  <si>
    <t>% of total incurred</t>
  </si>
  <si>
    <t>% of total</t>
  </si>
  <si>
    <t>Transfers pending</t>
  </si>
  <si>
    <t>total kenya correct+Ug correct #</t>
  </si>
  <si>
    <t>reported FY13 annual report</t>
  </si>
  <si>
    <t>difference</t>
  </si>
  <si>
    <t>likely related to discontinuity in FY12 and FY13 bookkeeping</t>
  </si>
  <si>
    <t>formerly reported (incorrect) values - incurred transfers</t>
  </si>
  <si>
    <t>Total (per year)</t>
  </si>
  <si>
    <t>Total set up (cumulative)</t>
  </si>
  <si>
    <t>Total marketing (cumulative)</t>
  </si>
  <si>
    <t>Set up and marketing costs</t>
  </si>
  <si>
    <t>Campaign costs</t>
  </si>
  <si>
    <t>Incurred</t>
  </si>
  <si>
    <t>Total (incurred)</t>
  </si>
  <si>
    <t>Total (incurred + future)</t>
  </si>
  <si>
    <t>Total costs</t>
  </si>
  <si>
    <t>Total (future + incurred)</t>
  </si>
  <si>
    <t>% of Total (incurred)</t>
  </si>
  <si>
    <t>% of Total (future + incurred)</t>
  </si>
  <si>
    <t>Total (cumulative)</t>
  </si>
  <si>
    <t>From GiveDirectly: "(expected to be allocated to the field in October board meeting)"</t>
  </si>
  <si>
    <t>Pre-FY 2013 revenue</t>
  </si>
  <si>
    <t>Pre-FY 2013 costs</t>
  </si>
  <si>
    <t>FY 2013 revenue</t>
  </si>
  <si>
    <t>FY 2013 costs</t>
  </si>
  <si>
    <t>FY 2014 revenue</t>
  </si>
  <si>
    <t>Total revenue</t>
  </si>
  <si>
    <t>Other set up, marketing, and campaign costs</t>
  </si>
  <si>
    <t>Other set up, marketing, and campaign costs pending</t>
  </si>
  <si>
    <t>$2 M</t>
  </si>
  <si>
    <t>$1.8 M</t>
  </si>
  <si>
    <t>laptop for secondee from USAID</t>
  </si>
  <si>
    <t>COO-Intl time spent on expansion work</t>
  </si>
  <si>
    <t>COO-Intl per diem related to expansion work</t>
  </si>
  <si>
    <t>~40 hours/weekpre-2014</t>
  </si>
  <si>
    <t>Research costs of independently-run studies of GiveDirectly's program</t>
  </si>
  <si>
    <t>No estimate</t>
  </si>
  <si>
    <t>Total set up and marketing (cumulative)</t>
  </si>
  <si>
    <t>FY 2014+</t>
  </si>
  <si>
    <t>FY 2014+ costs</t>
  </si>
  <si>
    <t>Reserves for staff salaries in the event of funding shortfall</t>
  </si>
  <si>
    <t>Fundraising (marketing) budget for 2015 (set aside, not yet incurred)</t>
  </si>
  <si>
    <t>President's volunteer hours pre-FY 2014</t>
  </si>
  <si>
    <t>GW added this column</t>
  </si>
  <si>
    <t>% of total costs incurred</t>
  </si>
  <si>
    <t>Author: GiveDirectly</t>
  </si>
  <si>
    <t>20141111 efficiency update</t>
  </si>
  <si>
    <t>Author: GiveWell</t>
  </si>
  <si>
    <t>Sum total expense (GiveWell added)</t>
  </si>
  <si>
    <t>20141017_Room for more funding scenarios</t>
  </si>
  <si>
    <r>
      <t>Funding in the bank </t>
    </r>
    <r>
      <rPr>
        <sz val="13"/>
        <color theme="4"/>
        <rFont val="Arial"/>
      </rPr>
      <t>(as of September ~3rd) </t>
    </r>
  </si>
  <si>
    <t>From GiveWell: Considered incurred cost in GiveDirectly's accounting</t>
  </si>
  <si>
    <t>From GiveWell: Will be "committed" once recipients are enrolled</t>
  </si>
  <si>
    <t>Sources: see comments and references to other sheets</t>
  </si>
  <si>
    <t>Sep 13</t>
  </si>
  <si>
    <t>Oct 13</t>
  </si>
  <si>
    <t>Nov 13</t>
  </si>
  <si>
    <t>Dec 13</t>
  </si>
  <si>
    <t>Jan 14</t>
  </si>
  <si>
    <t>Feb 14</t>
  </si>
  <si>
    <t>Mar 14</t>
  </si>
  <si>
    <t>Apr 14</t>
  </si>
  <si>
    <t>May 14</t>
  </si>
  <si>
    <t>Jun 14</t>
  </si>
  <si>
    <t>Jul 14</t>
  </si>
  <si>
    <t>Aug 14</t>
  </si>
  <si>
    <t>Sep 14</t>
  </si>
  <si>
    <t>Oct 14</t>
  </si>
  <si>
    <t>Nov 14</t>
  </si>
  <si>
    <t>Dec 14</t>
  </si>
  <si>
    <t>Jan 15</t>
  </si>
  <si>
    <t>Feb 15</t>
  </si>
  <si>
    <t>Mar 15</t>
  </si>
  <si>
    <t>Apr 15</t>
  </si>
  <si>
    <t>May 15</t>
  </si>
  <si>
    <t>Jun 15</t>
  </si>
  <si>
    <t>Unrealized G/L on Investments</t>
  </si>
  <si>
    <t>Field management time</t>
  </si>
  <si>
    <t>Payment processor fees</t>
  </si>
  <si>
    <t>Reconciliation Discrepancies</t>
  </si>
  <si>
    <t>Expenses allocated by donor</t>
  </si>
  <si>
    <t xml:space="preserve">Distributed Transfers (sent to recipients) </t>
  </si>
  <si>
    <t xml:space="preserve">Committed Transfers (booked as a liability upon recipient enrollment) </t>
  </si>
  <si>
    <t>Note</t>
  </si>
  <si>
    <t>Ke 201311 enrollment complete</t>
  </si>
  <si>
    <t xml:space="preserve">Begin Kenya rolling </t>
  </si>
  <si>
    <t>Uganda 201404 enrollment complete</t>
  </si>
  <si>
    <t xml:space="preserve">October transfers booked into november in error: Divide november in half to get an approximation </t>
  </si>
  <si>
    <t xml:space="preserve">Uganda 201503 Enrollment complete </t>
  </si>
  <si>
    <t xml:space="preserve">Internally, we focus on commitments more than disbursements because it is a better indicator of work progress (enrollment is the majority of the effort) and disbursements can straggle because of individiual recipient situations (e.g., failing to register for MPesa) </t>
  </si>
  <si>
    <t>US</t>
  </si>
  <si>
    <t>Consolidating Entries</t>
  </si>
  <si>
    <t>Google Web and Acct</t>
  </si>
  <si>
    <t>Ke-201403-G</t>
  </si>
  <si>
    <t>Ke-201407</t>
  </si>
  <si>
    <t>Ke-201407-R</t>
  </si>
  <si>
    <t>Us-201411</t>
  </si>
  <si>
    <t>BD Kenya - Other</t>
  </si>
  <si>
    <t>Total BD Kenya</t>
  </si>
  <si>
    <t>Rw-201504</t>
  </si>
  <si>
    <t>Total BD Rwanda</t>
  </si>
  <si>
    <t>Ug-201503</t>
  </si>
  <si>
    <t>Total BD Uganda</t>
  </si>
  <si>
    <t>Fundraising</t>
  </si>
  <si>
    <t>Pending - Any Country</t>
  </si>
  <si>
    <t>Pending - Ke</t>
  </si>
  <si>
    <t>To be allocated</t>
  </si>
  <si>
    <t>Uganda Country Management</t>
  </si>
  <si>
    <t>Field Management</t>
  </si>
  <si>
    <t>Kenya Country Management</t>
  </si>
  <si>
    <t>Global Management  and General</t>
  </si>
  <si>
    <t>(Consol)</t>
  </si>
  <si>
    <t>Total Consol</t>
  </si>
  <si>
    <t>990 Mgt General</t>
  </si>
  <si>
    <t>(Temp Restricted Kenya)</t>
  </si>
  <si>
    <t>Total Temp Restricted Kenya</t>
  </si>
  <si>
    <t>(Temp Restricted Uganda)</t>
  </si>
  <si>
    <t>Total Temp Restricted Uganda</t>
  </si>
  <si>
    <t>(BD Kenya)</t>
  </si>
  <si>
    <t>(Unrestricted Board Designated)</t>
  </si>
  <si>
    <t>(BD Rwanda)</t>
  </si>
  <si>
    <t>(BD Uganda)</t>
  </si>
  <si>
    <t>Total Unrestricted Board Designated</t>
  </si>
  <si>
    <t>Unclassified</t>
  </si>
  <si>
    <t>Donations to foreign branches</t>
  </si>
  <si>
    <t>Ask Client Expense</t>
  </si>
  <si>
    <t>Other G&amp;S Given to Recipients</t>
  </si>
  <si>
    <t>Payday fees</t>
  </si>
  <si>
    <t>Foreign Exch Transaction Costs</t>
  </si>
  <si>
    <t>Lost or Stolen Inventory</t>
  </si>
  <si>
    <t>Supplies - Other</t>
  </si>
  <si>
    <t>Total Supplies</t>
  </si>
  <si>
    <t>Office maintenance</t>
  </si>
  <si>
    <t>In-Kind Legal Fees</t>
  </si>
  <si>
    <t>Legal and Compliance - Other</t>
  </si>
  <si>
    <t>Management - Other</t>
  </si>
  <si>
    <t>Depreciation Expense - Kenya</t>
  </si>
  <si>
    <t>Depreciation Expense - Uganda</t>
  </si>
  <si>
    <t>Net Ordinary Income</t>
  </si>
  <si>
    <t>Other Income/Expense</t>
  </si>
  <si>
    <t>Other Expense</t>
  </si>
  <si>
    <t>Exchange gain or loss</t>
  </si>
  <si>
    <t>FXU Translation Adj (Gain)/Loss</t>
  </si>
  <si>
    <t>Total Other Expense</t>
  </si>
  <si>
    <t>Net Other Income</t>
  </si>
  <si>
    <t>Net Income</t>
  </si>
  <si>
    <t>GiveDirectly, Inc.</t>
  </si>
  <si>
    <t>6:13 PM</t>
  </si>
  <si>
    <t>Profit &amp; Loss Budget Overview</t>
  </si>
  <si>
    <t>July 2015 through December 2016</t>
  </si>
  <si>
    <t>Accrual Basis</t>
  </si>
  <si>
    <t>Jul '15 - Dec 16</t>
  </si>
  <si>
    <t>Contingency</t>
  </si>
  <si>
    <t>Uganda 2M</t>
  </si>
  <si>
    <t>Uganda model variations</t>
  </si>
  <si>
    <t>Kenya behavioral optimization (Ideas42)</t>
  </si>
  <si>
    <t>Kenya rolling</t>
  </si>
  <si>
    <t>Kenya 1.2M</t>
  </si>
  <si>
    <t>Kenya 2M</t>
  </si>
  <si>
    <t>2012-Q2 2015 expenses</t>
  </si>
  <si>
    <t>Misc and legacy accounts</t>
  </si>
  <si>
    <t>Total expense</t>
  </si>
  <si>
    <t>Foreign exchange correction</t>
  </si>
  <si>
    <t>Total expense + TBA</t>
  </si>
  <si>
    <t>July 2015 - 2016 budgets</t>
  </si>
  <si>
    <t xml:space="preserve">Total </t>
  </si>
  <si>
    <t>Misc, legacy, TBA</t>
  </si>
  <si>
    <t>Efficiency</t>
  </si>
  <si>
    <t>Target</t>
  </si>
  <si>
    <t>Delta</t>
  </si>
  <si>
    <t>Enrollment costs</t>
  </si>
  <si>
    <t>Transfer costs</t>
  </si>
  <si>
    <t>Follow-up costs</t>
  </si>
  <si>
    <t>Core operations - general</t>
  </si>
  <si>
    <t>Intermediate period</t>
  </si>
  <si>
    <t>Transferred</t>
  </si>
  <si>
    <t>Committed</t>
  </si>
  <si>
    <t>Jun 30, 15</t>
  </si>
  <si>
    <t>ASSETS</t>
  </si>
  <si>
    <t>Current Assets</t>
  </si>
  <si>
    <t>Checking/Savings</t>
  </si>
  <si>
    <t>Uganda Centenary Rural Dv. Bank</t>
  </si>
  <si>
    <t>Chase 1050 External Donors</t>
  </si>
  <si>
    <t>Chase 3979 Savings</t>
  </si>
  <si>
    <t>Chase 7210 Savings</t>
  </si>
  <si>
    <t>Equity Kenya - USD</t>
  </si>
  <si>
    <t>JP Morgan Cash and Equivalents</t>
  </si>
  <si>
    <t>Equity Kenya - Work Permit</t>
  </si>
  <si>
    <t>FX Clearing</t>
  </si>
  <si>
    <t>Equity Kenya - KES</t>
  </si>
  <si>
    <t>MPesa Business-1710-16</t>
  </si>
  <si>
    <t>MPesa Business-3383-16</t>
  </si>
  <si>
    <t>MPesa Utility-1714-17</t>
  </si>
  <si>
    <t>MPesa Utility-3385-17</t>
  </si>
  <si>
    <t>OM MPesa</t>
  </si>
  <si>
    <t>Kenya Petty Cash</t>
  </si>
  <si>
    <t>MTN Mobile Money</t>
  </si>
  <si>
    <t>Stanbic Uganda - Biz - 6067</t>
  </si>
  <si>
    <t>Stanbic Uganda - Savings 7207</t>
  </si>
  <si>
    <t>Stanbic Uganda - USD</t>
  </si>
  <si>
    <t>Uganda Petty Cash</t>
  </si>
  <si>
    <t>CLEARING Uganda</t>
  </si>
  <si>
    <t>CLEARING Kenya</t>
  </si>
  <si>
    <t>Total Checking/Savings</t>
  </si>
  <si>
    <t>Other Current Assets</t>
  </si>
  <si>
    <t>Inventory Asset</t>
  </si>
  <si>
    <t>Kenya Prepaid Expenses</t>
  </si>
  <si>
    <t>Kenya Other Prepaid Expenses</t>
  </si>
  <si>
    <t>Kenya Prepaid Insurance</t>
  </si>
  <si>
    <t>Kenya Prepaid Rent</t>
  </si>
  <si>
    <t>Total Kenya Prepaid Expenses</t>
  </si>
  <si>
    <t>CLEARING US</t>
  </si>
  <si>
    <t>Uganda Prepaid Expenses</t>
  </si>
  <si>
    <t>Uganda Other Prepaid Expenses</t>
  </si>
  <si>
    <t>Uganda Prepaid Insurance</t>
  </si>
  <si>
    <t>Uganda Prepaid Expenses - Other</t>
  </si>
  <si>
    <t>Total Uganda Prepaid Expenses</t>
  </si>
  <si>
    <t>Undeposited Funds</t>
  </si>
  <si>
    <t>US Prepaid Expenses</t>
  </si>
  <si>
    <t>US Other Prepaid Expenses</t>
  </si>
  <si>
    <t>US Prepaid Insurance</t>
  </si>
  <si>
    <t>Total US Prepaid Expenses</t>
  </si>
  <si>
    <t>Total Other Current Assets</t>
  </si>
  <si>
    <t>Total Current Assets</t>
  </si>
  <si>
    <t>Fixed Assets</t>
  </si>
  <si>
    <t>Kenya Fixed Assets</t>
  </si>
  <si>
    <t>Kenya Computers &amp; Software</t>
  </si>
  <si>
    <t>Kenya Furniture, Fixt &amp; Equip</t>
  </si>
  <si>
    <t>Kenya  Accum Depreciation</t>
  </si>
  <si>
    <t>Total Kenya Fixed Assets</t>
  </si>
  <si>
    <t>Uganda Fixed Assets</t>
  </si>
  <si>
    <t>Uganda Computers &amp; Software</t>
  </si>
  <si>
    <t>Uganda  Accum Depreciation</t>
  </si>
  <si>
    <t>Total Uganda Fixed Assets</t>
  </si>
  <si>
    <t>US Fixed Assets</t>
  </si>
  <si>
    <t>US Computers &amp; Software</t>
  </si>
  <si>
    <t>US Furniture, Fixt &amp; Equip</t>
  </si>
  <si>
    <t>Total US Fixed Assets</t>
  </si>
  <si>
    <t>Total Fixed Assets</t>
  </si>
  <si>
    <t>Other Assets</t>
  </si>
  <si>
    <t>Investment in Segovia</t>
  </si>
  <si>
    <t>Kenya Security Deposits</t>
  </si>
  <si>
    <t>US Security Deposits</t>
  </si>
  <si>
    <t>Total Other Assets</t>
  </si>
  <si>
    <t>TOTAL ASSETS</t>
  </si>
  <si>
    <t>LIABILITIES &amp; EQUITY</t>
  </si>
  <si>
    <t>Liabilities</t>
  </si>
  <si>
    <t>Current Liabilities</t>
  </si>
  <si>
    <t>Accounts Payable</t>
  </si>
  <si>
    <t>Obligations to Recipients-KE</t>
  </si>
  <si>
    <t>Obligations to Recipients-UG</t>
  </si>
  <si>
    <t>Reserve-Future Transfer Fees-KE</t>
  </si>
  <si>
    <t>Reserve-Future Transfer Fees-UG</t>
  </si>
  <si>
    <t>US Accounts Payable</t>
  </si>
  <si>
    <t>Total Accounts Payable</t>
  </si>
  <si>
    <t>Credit Cards</t>
  </si>
  <si>
    <t>Chase 7297 Credit Card</t>
  </si>
  <si>
    <t>Total Credit Cards</t>
  </si>
  <si>
    <t>Other Current Liabilities</t>
  </si>
  <si>
    <t>Kenya Accrued Expenses</t>
  </si>
  <si>
    <t>Payroll Liabilities</t>
  </si>
  <si>
    <t>Uganda Accrued Expenses</t>
  </si>
  <si>
    <t>US Accrued Expenses</t>
  </si>
  <si>
    <t>Total Other Current Liabilities</t>
  </si>
  <si>
    <t>Total Current Liabilities</t>
  </si>
  <si>
    <t>Total Liabilities</t>
  </si>
  <si>
    <t>Equity</t>
  </si>
  <si>
    <t>Temp. Restricted Net Assets</t>
  </si>
  <si>
    <t>Total Kenya</t>
  </si>
  <si>
    <t>Total Uganda</t>
  </si>
  <si>
    <t>Total Temp. Restricted Net Assets</t>
  </si>
  <si>
    <t>Unrestricted Net Assets</t>
  </si>
  <si>
    <t>Unrestricted - Board designated</t>
  </si>
  <si>
    <t>BD Kenya</t>
  </si>
  <si>
    <t>BD Rwanda</t>
  </si>
  <si>
    <t>BD Uganda</t>
  </si>
  <si>
    <t>Ug-201510</t>
  </si>
  <si>
    <t>Salary Reserve</t>
  </si>
  <si>
    <t>Total Unrestricted - Board designated</t>
  </si>
  <si>
    <t>Unrestricted - Undesignated</t>
  </si>
  <si>
    <t>Total Unrestricted Net Assets</t>
  </si>
  <si>
    <t>Total Equity</t>
  </si>
  <si>
    <t>TOTAL LIABILITIES &amp; EQUITY</t>
  </si>
  <si>
    <t>Direct grants</t>
  </si>
  <si>
    <t>Core operations (excluding fundraising)</t>
  </si>
  <si>
    <t>GiveWell campaign name &gt;&gt;&gt;</t>
  </si>
  <si>
    <t>Other</t>
  </si>
  <si>
    <t>Other (excluding fundraising)</t>
  </si>
  <si>
    <t>% of total excluding fundraising</t>
  </si>
  <si>
    <t>Total (exluding fundraising)</t>
  </si>
  <si>
    <t>Core operations - general (excluding fundraising)</t>
  </si>
  <si>
    <t>FY 2015 (only 75% of the year)</t>
  </si>
  <si>
    <t>% Increase</t>
  </si>
  <si>
    <t>FY 2015 (33% of year)</t>
  </si>
  <si>
    <t>Distributed</t>
  </si>
  <si>
    <t>Last 4 months</t>
  </si>
  <si>
    <t>AVERAGE PER MONTH (MEAN)</t>
  </si>
  <si>
    <t>Last year</t>
  </si>
  <si>
    <t>No hiring</t>
  </si>
  <si>
    <t>Hiring</t>
  </si>
  <si>
    <t>Cash transfer capacity per FD (KE/UG)</t>
  </si>
  <si>
    <t>Previous GV discussion assumption, increased by 15% to relect inflation increase in Kenya</t>
  </si>
  <si>
    <t xml:space="preserve">Cash transfer capacity per FD (Rwanda) </t>
  </si>
  <si>
    <t xml:space="preserve">Country set up time consuming, complex </t>
  </si>
  <si>
    <t xml:space="preserve">FD (KE/UG) </t>
  </si>
  <si>
    <t xml:space="preserve">FD (Rwanda) </t>
  </si>
  <si>
    <t xml:space="preserve">Cash transfer capacity </t>
  </si>
  <si>
    <t xml:space="preserve">Low RFF </t>
  </si>
  <si>
    <t xml:space="preserve">High RFF </t>
  </si>
  <si>
    <t xml:space="preserve">Currently un-budgeted funds </t>
  </si>
  <si>
    <t xml:space="preserve">Funds raised in July and August </t>
  </si>
  <si>
    <t xml:space="preserve">Rwanda funding </t>
  </si>
  <si>
    <t xml:space="preserve">Signed agreement </t>
  </si>
  <si>
    <t>Anticipated raise through Feb 2106 , sans GW recommendation</t>
  </si>
  <si>
    <t xml:space="preserve">Pegged to last year's direct retail raise Nov-Jan, plus 350K / mo for other months </t>
  </si>
  <si>
    <t>GV partnership funds + potential matches</t>
  </si>
  <si>
    <t xml:space="preserve">Negotiation times can be long and variable. Low case represents one $10 matching project implented within 2016. </t>
  </si>
  <si>
    <t xml:space="preserve">Funds available for cash in 2016 budget year </t>
  </si>
  <si>
    <t xml:space="preserve">Room for funding </t>
  </si>
  <si>
    <t>Committed transfers</t>
  </si>
  <si>
    <t>Cellphones</t>
  </si>
  <si>
    <t>% transferred of committed</t>
  </si>
  <si>
    <t>Kenya behavioral optimization</t>
  </si>
  <si>
    <t xml:space="preserve">Kenya rolling </t>
  </si>
  <si>
    <t>Total incurred costs</t>
  </si>
  <si>
    <t>Total future costs</t>
  </si>
  <si>
    <t>Future + incurred costs</t>
  </si>
  <si>
    <t>(Note: this is a sum of the previous columns, not the rows above, so it does not include Total Consol amt)</t>
  </si>
  <si>
    <t>(Total consol amount)</t>
  </si>
  <si>
    <t>Total (excluding fundraising)</t>
  </si>
  <si>
    <t>Efficiency for recent campaigns (excudes fundraising costs)</t>
  </si>
  <si>
    <t>Value of President's time before FY 2014</t>
  </si>
  <si>
    <t>Total spending through June 2015 + future spending through Dec 2016</t>
  </si>
  <si>
    <t>GiveDirectly's Comments</t>
  </si>
  <si>
    <t>Categories</t>
  </si>
  <si>
    <t>GiveDirectly's estimate as of September 2015</t>
  </si>
  <si>
    <t>Green text used when values are divided evenly across an entire period</t>
  </si>
  <si>
    <t>Pre FY13</t>
  </si>
  <si>
    <t>Oct 12</t>
  </si>
  <si>
    <t>Nov 12</t>
  </si>
  <si>
    <t>Dec 12</t>
  </si>
  <si>
    <t>Jan 13</t>
  </si>
  <si>
    <t>Feb 13</t>
  </si>
  <si>
    <t>Mar 13</t>
  </si>
  <si>
    <t>Apr 13</t>
  </si>
  <si>
    <t>May 13</t>
  </si>
  <si>
    <t>Jun 13</t>
  </si>
  <si>
    <t>Jul 13</t>
  </si>
  <si>
    <t>Aug 13</t>
  </si>
  <si>
    <t>Fiscal Year</t>
  </si>
  <si>
    <t>Pre FY 13</t>
  </si>
  <si>
    <t>FY13</t>
  </si>
  <si>
    <t>FY14</t>
  </si>
  <si>
    <t>FY14+</t>
  </si>
  <si>
    <t>14-15 gap</t>
  </si>
  <si>
    <t>FY15</t>
  </si>
  <si>
    <t>Distributed transfers to date</t>
  </si>
  <si>
    <t>Committed transfers to date</t>
  </si>
  <si>
    <t>Source</t>
  </si>
  <si>
    <t>Other costs (marked at end of year incurred)</t>
  </si>
  <si>
    <t>Implied cost per month</t>
  </si>
  <si>
    <t>Other costs to date</t>
  </si>
  <si>
    <t>Distributed Transfers+costs to date</t>
  </si>
  <si>
    <t>Commited Transfers+costs to date</t>
  </si>
  <si>
    <r>
      <t>Revenues</t>
    </r>
    <r>
      <rPr>
        <sz val="12"/>
        <color theme="1"/>
        <rFont val="Calibri"/>
        <family val="2"/>
        <scheme val="minor"/>
      </rPr>
      <t xml:space="preserve"> (marked them at the end of the period they came in)</t>
    </r>
  </si>
  <si>
    <t>Revenue to date</t>
  </si>
  <si>
    <t>Revenues seem to match up with http://files.givewell.org/files/DWDA%202009/GiveDirectly/20140929%20GW-GD%20annual%20update.pdf</t>
  </si>
  <si>
    <t>Funds raised by</t>
  </si>
  <si>
    <t>Total funds raised</t>
  </si>
  <si>
    <t>Funds spent by</t>
  </si>
  <si>
    <t>Months between raising and spending funds</t>
  </si>
  <si>
    <t>Funds raised or committed by</t>
  </si>
  <si>
    <t>Months between raising funds and either spending or committing them</t>
  </si>
  <si>
    <t>December 2012</t>
  </si>
  <si>
    <t>December 2013</t>
  </si>
  <si>
    <t>October 2013</t>
  </si>
  <si>
    <t>June 2013</t>
  </si>
  <si>
    <t>June 2014</t>
  </si>
  <si>
    <t>n/a</t>
  </si>
  <si>
    <t>December 2014</t>
  </si>
  <si>
    <t>Pre FY 13 transfer data from "2014 - Total expenses" (assuming distributed and committed transfers to be the same pre FY 2013)</t>
  </si>
  <si>
    <t>FY13 transfer data from "2014 - Total Expenses", assumed to be the same in each month</t>
  </si>
  <si>
    <t>Transfer data by month from "2015 - Commitments by month"</t>
  </si>
  <si>
    <t>From "2014 - Total expenses"</t>
  </si>
  <si>
    <t>Based on total expenses through Jun 2015, minus expenses through Oct 2014.</t>
  </si>
  <si>
    <t>From "2014 - Revenues and Transfers"</t>
  </si>
  <si>
    <t>From GiveDirectly, Update for GiveWell, February 2015. Pg 4, combining retail and relational</t>
  </si>
  <si>
    <t>In our 2014 review of GiveDirectly (http://www.givewell.org/node/2361/) we note that GiveDirectly has set aside $2 million for reserves.</t>
  </si>
  <si>
    <t>In GiveDirectly, Update for GiveWell, February 2015, pg. 6, GiveDirectly adds 400k to its reserves</t>
  </si>
  <si>
    <t>January 2014</t>
  </si>
  <si>
    <t>April 2014</t>
  </si>
  <si>
    <t>May 2015</t>
  </si>
  <si>
    <t>February 2015</t>
  </si>
  <si>
    <t>April 2015</t>
  </si>
  <si>
    <t>n/a ($21,013,996 spent by June 2015)</t>
  </si>
  <si>
    <t>n/a ($26,503,043 spent or committed by June 2015)</t>
  </si>
  <si>
    <t>September 2013 - February 2014</t>
  </si>
  <si>
    <t>March 2014 - August 2014</t>
  </si>
  <si>
    <t>September 2014 - February 2015</t>
  </si>
  <si>
    <t>March 2015 - June 2015</t>
  </si>
  <si>
    <t>Funds committed to recipients per month</t>
  </si>
  <si>
    <t>Time period</t>
  </si>
  <si>
    <t>Funds committed to recipients per month (millions)</t>
  </si>
  <si>
    <t>Funds spent per month</t>
  </si>
  <si>
    <t>March 2013 - August 2013</t>
  </si>
  <si>
    <t>Funds spent per month (8 months after)</t>
  </si>
  <si>
    <t xml:space="preserve">NOTE: This sheet was created by GiveDirectly, there are a few notes in column CI from GiveWell. </t>
  </si>
  <si>
    <t>NOTE: This sheet was created by GiveDirectly.</t>
  </si>
  <si>
    <t>NOTE: Everything above this comment was created by GiveDirectly. Everything below is analysis done by GiveWell.</t>
  </si>
  <si>
    <t>Note: This sheet was created by GiveDirectly.</t>
  </si>
  <si>
    <t xml:space="preserve">Note: this sheet was created by GiveDirectly. </t>
  </si>
  <si>
    <t xml:space="preserve">Note: This sheet was originally created by GiveDirectly, sent to GiveWell on September 5, 2015. </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</si>
</sst>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44" formatCode="_-&quot;$&quot;* #,##0.00_-;\-&quot;$&quot;* #,##0.00_-;_-&quot;$&quot;* &quot;-&quot;??_-;_-@_-"/>
    <numFmt numFmtId="43" formatCode="_-* #,##0.00_-;\-* #,##0.00_-;_-* &quot;-&quot;??_-;_-@_-"/>
    <numFmt numFmtId="164" formatCode="&quot;$&quot;#,##0_);[Red]\(&quot;$&quot;#,##0\)"/>
    <numFmt numFmtId="165" formatCode="_(* #,##0_);_(* \(#,##0\);_(* &quot;-&quot;_);_(@_)"/>
    <numFmt numFmtId="166" formatCode="_(&quot;$&quot;* #,##0.00_);_(&quot;$&quot;* \(#,##0.00\);_(&quot;$&quot;* &quot;-&quot;??_);_(@_)"/>
    <numFmt numFmtId="167" formatCode="_(* #,##0.00_);_(* \(#,##0.00\);_(* &quot;-&quot;??_);_(@_)"/>
    <numFmt numFmtId="168" formatCode="_(* #,##0_);_(* \(#,##0\);_(* &quot;-&quot;??_);_(@_)"/>
    <numFmt numFmtId="169" formatCode="0.0%"/>
    <numFmt numFmtId="170" formatCode="&quot;$&quot;#,##0;[Red]&quot;$&quot;#,##0"/>
    <numFmt numFmtId="171" formatCode="0.0"/>
    <numFmt numFmtId="172" formatCode="_-* #,##0_-;\-* #,##0_-;_-* &quot;-&quot;??_-;_-@_-"/>
    <numFmt numFmtId="173" formatCode="_-&quot;$&quot;* #,##0_-;\-&quot;$&quot;* #,##0_-;_-&quot;$&quot;* &quot;-&quot;??_-;_-@_-"/>
    <numFmt numFmtId="174" formatCode="mm/dd/yyyy"/>
    <numFmt numFmtId="175" formatCode="_(* #,##0.0_);_(* \(#,##0.0\);_(* &quot;-&quot;??_);_(@_)"/>
    <numFmt numFmtId="176" formatCode="&quot;$&quot;#,##0.00"/>
    <numFmt numFmtId="177" formatCode="&quot;$&quot;#,##0"/>
    <numFmt numFmtId="178" formatCode="#,##0.00_ ;[Red]\-#,##0.00\ "/>
    <numFmt numFmtId="179" formatCode="[$$-409]#,##0.00_ ;\-[$$-409]#,##0.00\ "/>
  </numFmts>
  <fonts count="62" x14ac:knownFonts="1">
    <font>
      <sz val="12"/>
      <color theme="1"/>
      <name val="Calibri"/>
      <family val="2"/>
      <scheme val="minor"/>
    </font>
    <font>
      <sz val="12"/>
      <color theme="1"/>
      <name val="Calibri"/>
      <family val="2"/>
      <scheme val="minor"/>
    </font>
    <font>
      <sz val="9"/>
      <color indexed="81"/>
      <name val="Calibri"/>
      <family val="2"/>
    </font>
    <font>
      <b/>
      <sz val="9"/>
      <color indexed="81"/>
      <name val="Calibri"/>
      <family val="2"/>
    </font>
    <font>
      <b/>
      <sz val="10"/>
      <name val="Arial"/>
      <family val="2"/>
    </font>
    <font>
      <sz val="10"/>
      <name val="Arial"/>
      <family val="2"/>
    </font>
    <font>
      <sz val="11"/>
      <name val="Arial"/>
      <family val="2"/>
    </font>
    <font>
      <b/>
      <i/>
      <sz val="10"/>
      <name val="Arial"/>
      <family val="2"/>
    </font>
    <font>
      <b/>
      <sz val="9"/>
      <color indexed="81"/>
      <name val="Tahoma"/>
      <family val="2"/>
    </font>
    <font>
      <sz val="9"/>
      <color indexed="81"/>
      <name val="Tahoma"/>
      <family val="2"/>
    </font>
    <font>
      <sz val="12"/>
      <color theme="1"/>
      <name val="Calibri"/>
      <family val="2"/>
      <scheme val="minor"/>
    </font>
    <font>
      <sz val="12"/>
      <name val="Calibri"/>
      <scheme val="minor"/>
    </font>
    <font>
      <b/>
      <sz val="10"/>
      <color theme="1"/>
      <name val="Calibri"/>
      <family val="2"/>
      <scheme val="minor"/>
    </font>
    <font>
      <sz val="10"/>
      <color theme="1"/>
      <name val="Calibri"/>
      <family val="2"/>
      <scheme val="minor"/>
    </font>
    <font>
      <b/>
      <sz val="14"/>
      <color theme="1"/>
      <name val="Calibri"/>
      <scheme val="minor"/>
    </font>
    <font>
      <sz val="10"/>
      <color theme="1"/>
      <name val="Arial"/>
      <family val="2"/>
    </font>
    <font>
      <sz val="11"/>
      <color theme="1"/>
      <name val="Arial"/>
      <family val="2"/>
    </font>
    <font>
      <b/>
      <sz val="10"/>
      <color theme="1"/>
      <name val="Arial"/>
      <family val="2"/>
    </font>
    <font>
      <sz val="10"/>
      <color theme="0" tint="-0.499984740745262"/>
      <name val="Arial"/>
      <family val="2"/>
    </font>
    <font>
      <b/>
      <sz val="10"/>
      <color theme="0" tint="-0.499984740745262"/>
      <name val="Arial"/>
      <family val="2"/>
    </font>
    <font>
      <sz val="11"/>
      <color theme="0" tint="-0.499984740745262"/>
      <name val="Arial"/>
      <family val="2"/>
    </font>
    <font>
      <b/>
      <i/>
      <sz val="10"/>
      <color theme="0" tint="-0.499984740745262"/>
      <name val="Arial"/>
      <family val="2"/>
    </font>
    <font>
      <b/>
      <sz val="12"/>
      <color rgb="FF000080"/>
      <name val="Arial"/>
      <family val="2"/>
    </font>
    <font>
      <b/>
      <sz val="8"/>
      <color rgb="FF000000"/>
      <name val="Arial"/>
      <family val="2"/>
    </font>
    <font>
      <sz val="9"/>
      <color theme="1"/>
      <name val="Arial"/>
      <family val="2"/>
    </font>
    <font>
      <b/>
      <sz val="14"/>
      <color rgb="FF000080"/>
      <name val="Arial"/>
      <family val="2"/>
    </font>
    <font>
      <b/>
      <sz val="10"/>
      <color rgb="FF000080"/>
      <name val="Arial"/>
      <family val="2"/>
    </font>
    <font>
      <b/>
      <sz val="9"/>
      <color theme="1"/>
      <name val="Arial"/>
      <family val="2"/>
    </font>
    <font>
      <sz val="8"/>
      <color rgb="FF000000"/>
      <name val="Arial"/>
      <family val="2"/>
    </font>
    <font>
      <b/>
      <sz val="12"/>
      <color theme="4"/>
      <name val="Calibri"/>
      <scheme val="minor"/>
    </font>
    <font>
      <sz val="12"/>
      <color theme="4"/>
      <name val="Calibri"/>
      <scheme val="minor"/>
    </font>
    <font>
      <b/>
      <sz val="11"/>
      <color theme="1"/>
      <name val="Calibri"/>
      <family val="2"/>
      <scheme val="minor"/>
    </font>
    <font>
      <u/>
      <sz val="12"/>
      <color theme="10"/>
      <name val="Calibri"/>
      <family val="2"/>
      <scheme val="minor"/>
    </font>
    <font>
      <u/>
      <sz val="12"/>
      <color theme="11"/>
      <name val="Calibri"/>
      <family val="2"/>
      <scheme val="minor"/>
    </font>
    <font>
      <b/>
      <sz val="10"/>
      <color theme="4"/>
      <name val="Arial"/>
      <family val="2"/>
    </font>
    <font>
      <sz val="10"/>
      <color theme="4"/>
      <name val="Arial"/>
      <family val="2"/>
    </font>
    <font>
      <b/>
      <i/>
      <sz val="10"/>
      <color theme="4"/>
      <name val="Arial"/>
      <family val="2"/>
    </font>
    <font>
      <sz val="12"/>
      <color theme="4"/>
      <name val="Arial"/>
    </font>
    <font>
      <b/>
      <sz val="11"/>
      <color theme="4"/>
      <name val="Calibri"/>
      <family val="2"/>
      <scheme val="minor"/>
    </font>
    <font>
      <i/>
      <sz val="11"/>
      <color theme="4"/>
      <name val="Calibri"/>
      <scheme val="minor"/>
    </font>
    <font>
      <b/>
      <i/>
      <sz val="11"/>
      <color theme="4"/>
      <name val="Calibri"/>
      <scheme val="minor"/>
    </font>
    <font>
      <sz val="11"/>
      <color theme="4"/>
      <name val="Calibri"/>
      <scheme val="minor"/>
    </font>
    <font>
      <b/>
      <sz val="12"/>
      <color theme="1"/>
      <name val="Calibri"/>
      <family val="2"/>
      <scheme val="minor"/>
    </font>
    <font>
      <sz val="11"/>
      <color theme="4"/>
      <name val="Arial"/>
      <family val="2"/>
    </font>
    <font>
      <b/>
      <sz val="12"/>
      <color theme="4"/>
      <name val="Arial"/>
    </font>
    <font>
      <b/>
      <sz val="13"/>
      <color theme="4"/>
      <name val="Arial"/>
    </font>
    <font>
      <sz val="13"/>
      <color theme="4"/>
      <name val="Arial"/>
    </font>
    <font>
      <sz val="11"/>
      <color theme="1"/>
      <name val="Calibri"/>
      <family val="2"/>
      <scheme val="minor"/>
    </font>
    <font>
      <b/>
      <sz val="8"/>
      <color rgb="FF000080"/>
      <name val="Arial"/>
      <family val="2"/>
    </font>
    <font>
      <b/>
      <sz val="8"/>
      <color theme="1"/>
      <name val="Arial"/>
      <family val="2"/>
    </font>
    <font>
      <sz val="8"/>
      <color theme="1"/>
      <name val="Arial"/>
      <family val="2"/>
    </font>
    <font>
      <sz val="10"/>
      <color rgb="FF0000FF"/>
      <name val="Arial"/>
      <family val="2"/>
    </font>
    <font>
      <sz val="8"/>
      <name val="Calibri"/>
      <family val="2"/>
      <scheme val="minor"/>
    </font>
    <font>
      <b/>
      <i/>
      <sz val="10"/>
      <color theme="1"/>
      <name val="Arial"/>
    </font>
    <font>
      <b/>
      <i/>
      <sz val="11"/>
      <color theme="1"/>
      <name val="Calibri"/>
      <scheme val="minor"/>
    </font>
    <font>
      <b/>
      <sz val="11"/>
      <color rgb="FF000000"/>
      <name val="Calibri"/>
      <family val="2"/>
      <scheme val="minor"/>
    </font>
    <font>
      <sz val="11"/>
      <color rgb="FF000000"/>
      <name val="Calibri"/>
      <family val="2"/>
      <scheme val="minor"/>
    </font>
    <font>
      <i/>
      <sz val="8"/>
      <color rgb="FF000000"/>
      <name val="Calibri"/>
      <family val="2"/>
      <scheme val="minor"/>
    </font>
    <font>
      <sz val="8"/>
      <color rgb="FF000000"/>
      <name val="Calibri"/>
      <family val="2"/>
      <scheme val="minor"/>
    </font>
    <font>
      <sz val="8"/>
      <color theme="1"/>
      <name val="Calibri"/>
      <family val="2"/>
      <scheme val="minor"/>
    </font>
    <font>
      <b/>
      <sz val="8"/>
      <color rgb="FF000000"/>
      <name val="Calibri"/>
      <family val="2"/>
      <scheme val="minor"/>
    </font>
    <font>
      <sz val="11"/>
      <color rgb="FF008000"/>
      <name val="Calibri"/>
      <scheme val="minor"/>
    </font>
  </fonts>
  <fills count="10">
    <fill>
      <patternFill patternType="none"/>
    </fill>
    <fill>
      <patternFill patternType="gray125"/>
    </fill>
    <fill>
      <patternFill patternType="solid">
        <fgColor theme="0"/>
        <bgColor indexed="64"/>
      </patternFill>
    </fill>
    <fill>
      <patternFill patternType="solid">
        <fgColor rgb="FFFFFFFF"/>
        <bgColor rgb="FF000000"/>
      </patternFill>
    </fill>
    <fill>
      <patternFill patternType="solid">
        <fgColor theme="0" tint="-0.14999847407452621"/>
        <bgColor indexed="64"/>
      </patternFill>
    </fill>
    <fill>
      <patternFill patternType="solid">
        <fgColor rgb="FFFFFF00"/>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theme="6" tint="0.39997558519241921"/>
        <bgColor indexed="64"/>
      </patternFill>
    </fill>
    <fill>
      <patternFill patternType="solid">
        <fgColor theme="9" tint="0.39997558519241921"/>
        <bgColor indexed="64"/>
      </patternFill>
    </fill>
  </fills>
  <borders count="30">
    <border>
      <left/>
      <right/>
      <top/>
      <bottom/>
      <diagonal/>
    </border>
    <border>
      <left style="thin">
        <color auto="1"/>
      </left>
      <right style="thin">
        <color auto="1"/>
      </right>
      <top style="thin">
        <color auto="1"/>
      </top>
      <bottom style="thin">
        <color auto="1"/>
      </bottom>
      <diagonal/>
    </border>
    <border>
      <left/>
      <right style="thin">
        <color auto="1"/>
      </right>
      <top/>
      <bottom/>
      <diagonal/>
    </border>
    <border>
      <left/>
      <right/>
      <top style="thin">
        <color auto="1"/>
      </top>
      <bottom/>
      <diagonal/>
    </border>
    <border>
      <left/>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style="double">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diagonal/>
    </border>
    <border>
      <left/>
      <right style="medium">
        <color auto="1"/>
      </right>
      <top/>
      <bottom/>
      <diagonal/>
    </border>
    <border>
      <left style="medium">
        <color auto="1"/>
      </left>
      <right/>
      <top style="double">
        <color auto="1"/>
      </top>
      <bottom style="medium">
        <color auto="1"/>
      </bottom>
      <diagonal/>
    </border>
    <border>
      <left/>
      <right/>
      <top style="double">
        <color auto="1"/>
      </top>
      <bottom style="medium">
        <color auto="1"/>
      </bottom>
      <diagonal/>
    </border>
    <border>
      <left/>
      <right style="medium">
        <color auto="1"/>
      </right>
      <top style="double">
        <color auto="1"/>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ck">
        <color auto="1"/>
      </bottom>
      <diagonal/>
    </border>
    <border>
      <left/>
      <right/>
      <top/>
      <bottom style="medium">
        <color auto="1"/>
      </bottom>
      <diagonal/>
    </border>
    <border>
      <left/>
      <right style="medium">
        <color auto="1"/>
      </right>
      <top style="thin">
        <color auto="1"/>
      </top>
      <bottom style="thin">
        <color auto="1"/>
      </bottom>
      <diagonal/>
    </border>
    <border>
      <left/>
      <right/>
      <top style="thin">
        <color auto="1"/>
      </top>
      <bottom style="thin">
        <color auto="1"/>
      </bottom>
      <diagonal/>
    </border>
    <border>
      <left/>
      <right/>
      <top/>
      <bottom style="double">
        <color auto="1"/>
      </bottom>
      <diagonal/>
    </border>
    <border>
      <left/>
      <right/>
      <top style="medium">
        <color auto="1"/>
      </top>
      <bottom/>
      <diagonal/>
    </border>
    <border>
      <left/>
      <right/>
      <top style="medium">
        <color auto="1"/>
      </top>
      <bottom style="double">
        <color auto="1"/>
      </bottom>
      <diagonal/>
    </border>
    <border>
      <left/>
      <right/>
      <top style="thick">
        <color auto="1"/>
      </top>
      <bottom style="thick">
        <color auto="1"/>
      </bottom>
      <diagonal/>
    </border>
    <border>
      <left/>
      <right/>
      <top style="double">
        <color auto="1"/>
      </top>
      <bottom style="double">
        <color auto="1"/>
      </bottom>
      <diagonal/>
    </border>
  </borders>
  <cellStyleXfs count="553">
    <xf numFmtId="0" fontId="0" fillId="0" borderId="0"/>
    <xf numFmtId="43" fontId="10" fillId="0" borderId="0" applyFont="0" applyFill="0" applyBorder="0" applyAlignment="0" applyProtection="0"/>
    <xf numFmtId="44" fontId="10" fillId="0" borderId="0" applyFont="0" applyFill="0" applyBorder="0" applyAlignment="0" applyProtection="0"/>
    <xf numFmtId="9" fontId="10" fillId="0" borderId="0" applyFon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47"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47" fillId="0" borderId="0"/>
    <xf numFmtId="9" fontId="1" fillId="0" borderId="0" applyFont="0" applyFill="0" applyBorder="0" applyAlignment="0" applyProtection="0"/>
    <xf numFmtId="167" fontId="47" fillId="0" borderId="0" applyFont="0" applyFill="0" applyBorder="0" applyAlignment="0" applyProtection="0"/>
    <xf numFmtId="166" fontId="47" fillId="0" borderId="0" applyFont="0" applyFill="0" applyBorder="0" applyAlignment="0" applyProtection="0"/>
    <xf numFmtId="9" fontId="47" fillId="0" borderId="0" applyFon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cellStyleXfs>
  <cellXfs count="376">
    <xf numFmtId="0" fontId="0" fillId="0" borderId="0" xfId="0"/>
    <xf numFmtId="171" fontId="13" fillId="0" borderId="0" xfId="0" applyNumberFormat="1" applyFont="1"/>
    <xf numFmtId="171" fontId="13" fillId="0" borderId="0" xfId="0" applyNumberFormat="1" applyFont="1" applyFill="1" applyAlignment="1"/>
    <xf numFmtId="171" fontId="13" fillId="0" borderId="0" xfId="0" applyNumberFormat="1" applyFont="1" applyAlignment="1">
      <alignment wrapText="1"/>
    </xf>
    <xf numFmtId="171" fontId="13" fillId="0" borderId="0" xfId="0" applyNumberFormat="1" applyFont="1" applyFill="1" applyAlignment="1">
      <alignment wrapText="1"/>
    </xf>
    <xf numFmtId="9" fontId="13" fillId="0" borderId="0" xfId="3" applyFont="1" applyFill="1"/>
    <xf numFmtId="171" fontId="13" fillId="0" borderId="0" xfId="0" applyNumberFormat="1" applyFont="1" applyFill="1"/>
    <xf numFmtId="9" fontId="13" fillId="0" borderId="0" xfId="3" applyFont="1"/>
    <xf numFmtId="171" fontId="13" fillId="0" borderId="0" xfId="0" applyNumberFormat="1" applyFont="1" applyAlignment="1">
      <alignment horizontal="left" wrapText="1"/>
    </xf>
    <xf numFmtId="171" fontId="13" fillId="0" borderId="5" xfId="0" applyNumberFormat="1" applyFont="1" applyBorder="1"/>
    <xf numFmtId="171" fontId="13" fillId="0" borderId="6" xfId="0" applyNumberFormat="1" applyFont="1" applyBorder="1"/>
    <xf numFmtId="1" fontId="13" fillId="0" borderId="0" xfId="0" applyNumberFormat="1" applyFont="1" applyAlignment="1">
      <alignment horizontal="right"/>
    </xf>
    <xf numFmtId="171" fontId="13" fillId="0" borderId="7" xfId="0" applyNumberFormat="1" applyFont="1" applyBorder="1"/>
    <xf numFmtId="171" fontId="13" fillId="0" borderId="2" xfId="0" applyNumberFormat="1" applyFont="1" applyBorder="1"/>
    <xf numFmtId="171" fontId="13" fillId="0" borderId="8" xfId="0" applyNumberFormat="1" applyFont="1" applyBorder="1"/>
    <xf numFmtId="171" fontId="13" fillId="0" borderId="9" xfId="0" applyNumberFormat="1" applyFont="1" applyBorder="1"/>
    <xf numFmtId="171" fontId="13" fillId="0" borderId="9" xfId="0" applyNumberFormat="1" applyFont="1" applyFill="1" applyBorder="1"/>
    <xf numFmtId="171" fontId="13" fillId="0" borderId="8" xfId="0" applyNumberFormat="1" applyFont="1" applyFill="1" applyBorder="1"/>
    <xf numFmtId="1" fontId="13" fillId="0" borderId="0" xfId="2" applyNumberFormat="1" applyFont="1" applyFill="1" applyAlignment="1">
      <alignment horizontal="right"/>
    </xf>
    <xf numFmtId="171" fontId="13" fillId="0" borderId="0" xfId="1" applyNumberFormat="1" applyFont="1" applyFill="1"/>
    <xf numFmtId="171" fontId="13" fillId="0" borderId="10" xfId="0" applyNumberFormat="1" applyFont="1" applyBorder="1" applyAlignment="1">
      <alignment horizontal="right"/>
    </xf>
    <xf numFmtId="1" fontId="13" fillId="0" borderId="10" xfId="0" applyNumberFormat="1" applyFont="1" applyBorder="1"/>
    <xf numFmtId="171" fontId="13" fillId="0" borderId="10" xfId="0" applyNumberFormat="1" applyFont="1" applyBorder="1"/>
    <xf numFmtId="0" fontId="14" fillId="0" borderId="0" xfId="0" applyFont="1"/>
    <xf numFmtId="0" fontId="0" fillId="0" borderId="0" xfId="0" applyAlignment="1"/>
    <xf numFmtId="0" fontId="15" fillId="0" borderId="0" xfId="0" applyFont="1"/>
    <xf numFmtId="169" fontId="15" fillId="0" borderId="0" xfId="3" applyNumberFormat="1" applyFont="1" applyAlignment="1">
      <alignment wrapText="1"/>
    </xf>
    <xf numFmtId="0" fontId="4" fillId="4" borderId="11" xfId="0" applyFont="1" applyFill="1" applyBorder="1" applyAlignment="1">
      <alignment horizontal="left"/>
    </xf>
    <xf numFmtId="165" fontId="4" fillId="4" borderId="12" xfId="0" applyNumberFormat="1" applyFont="1" applyFill="1" applyBorder="1" applyAlignment="1">
      <alignment horizontal="left"/>
    </xf>
    <xf numFmtId="165" fontId="4" fillId="4" borderId="12" xfId="0" applyNumberFormat="1" applyFont="1" applyFill="1" applyBorder="1" applyAlignment="1"/>
    <xf numFmtId="169" fontId="4" fillId="4" borderId="13" xfId="0" quotePrefix="1" applyNumberFormat="1" applyFont="1" applyFill="1" applyBorder="1" applyAlignment="1"/>
    <xf numFmtId="169" fontId="15" fillId="0" borderId="0" xfId="3" applyNumberFormat="1" applyFont="1"/>
    <xf numFmtId="0" fontId="5" fillId="0" borderId="0" xfId="0" applyFont="1"/>
    <xf numFmtId="0" fontId="5" fillId="2" borderId="14" xfId="0" applyFont="1" applyFill="1" applyBorder="1" applyAlignment="1">
      <alignment horizontal="left"/>
    </xf>
    <xf numFmtId="168" fontId="5" fillId="2" borderId="0" xfId="1" applyNumberFormat="1" applyFont="1" applyFill="1" applyBorder="1" applyAlignment="1">
      <alignment horizontal="left"/>
    </xf>
    <xf numFmtId="165" fontId="5" fillId="2" borderId="0" xfId="0" applyNumberFormat="1" applyFont="1" applyFill="1" applyBorder="1" applyAlignment="1">
      <alignment horizontal="left"/>
    </xf>
    <xf numFmtId="168" fontId="5" fillId="2" borderId="0" xfId="0" applyNumberFormat="1" applyFont="1" applyFill="1" applyBorder="1" applyAlignment="1"/>
    <xf numFmtId="169" fontId="5" fillId="2" borderId="15" xfId="3" applyNumberFormat="1" applyFont="1" applyFill="1" applyBorder="1" applyAlignment="1"/>
    <xf numFmtId="169" fontId="5" fillId="0" borderId="0" xfId="3" applyNumberFormat="1" applyFont="1"/>
    <xf numFmtId="0" fontId="6" fillId="0" borderId="0" xfId="0" applyFont="1"/>
    <xf numFmtId="0" fontId="7" fillId="2" borderId="16" xfId="0" applyFont="1" applyFill="1" applyBorder="1" applyAlignment="1">
      <alignment horizontal="left"/>
    </xf>
    <xf numFmtId="165" fontId="4" fillId="2" borderId="17" xfId="0" applyNumberFormat="1" applyFont="1" applyFill="1" applyBorder="1" applyAlignment="1">
      <alignment horizontal="left"/>
    </xf>
    <xf numFmtId="165" fontId="4" fillId="2" borderId="17" xfId="0" applyNumberFormat="1" applyFont="1" applyFill="1" applyBorder="1" applyAlignment="1"/>
    <xf numFmtId="169" fontId="4" fillId="2" borderId="18" xfId="0" applyNumberFormat="1" applyFont="1" applyFill="1" applyBorder="1" applyAlignment="1"/>
    <xf numFmtId="0" fontId="15" fillId="2" borderId="0" xfId="0" applyFont="1" applyFill="1"/>
    <xf numFmtId="0" fontId="5" fillId="2" borderId="0" xfId="0" applyFont="1" applyFill="1"/>
    <xf numFmtId="168" fontId="5" fillId="0" borderId="0" xfId="1" applyNumberFormat="1" applyFont="1" applyFill="1" applyBorder="1" applyAlignment="1">
      <alignment horizontal="left"/>
    </xf>
    <xf numFmtId="0" fontId="16" fillId="0" borderId="0" xfId="0" applyFont="1"/>
    <xf numFmtId="0" fontId="0" fillId="2" borderId="0" xfId="0" applyFill="1"/>
    <xf numFmtId="0" fontId="15" fillId="2" borderId="0" xfId="0" quotePrefix="1" applyFont="1" applyFill="1"/>
    <xf numFmtId="0" fontId="17" fillId="2" borderId="0" xfId="0" applyFont="1" applyFill="1"/>
    <xf numFmtId="168" fontId="15" fillId="2" borderId="0" xfId="0" applyNumberFormat="1" applyFont="1" applyFill="1"/>
    <xf numFmtId="169" fontId="15" fillId="2" borderId="0" xfId="3" applyNumberFormat="1" applyFont="1" applyFill="1" applyAlignment="1">
      <alignment wrapText="1"/>
    </xf>
    <xf numFmtId="0" fontId="16" fillId="2" borderId="0" xfId="0" applyFont="1" applyFill="1"/>
    <xf numFmtId="0" fontId="18" fillId="2" borderId="0" xfId="0" applyFont="1" applyFill="1"/>
    <xf numFmtId="0" fontId="19" fillId="4" borderId="11" xfId="0" applyFont="1" applyFill="1" applyBorder="1" applyAlignment="1">
      <alignment horizontal="left"/>
    </xf>
    <xf numFmtId="165" fontId="19" fillId="4" borderId="12" xfId="0" applyNumberFormat="1" applyFont="1" applyFill="1" applyBorder="1" applyAlignment="1">
      <alignment horizontal="left"/>
    </xf>
    <xf numFmtId="165" fontId="19" fillId="4" borderId="12" xfId="0" applyNumberFormat="1" applyFont="1" applyFill="1" applyBorder="1" applyAlignment="1"/>
    <xf numFmtId="169" fontId="19" fillId="4" borderId="13" xfId="0" quotePrefix="1" applyNumberFormat="1" applyFont="1" applyFill="1" applyBorder="1" applyAlignment="1"/>
    <xf numFmtId="169" fontId="18" fillId="2" borderId="0" xfId="3" applyNumberFormat="1" applyFont="1" applyFill="1"/>
    <xf numFmtId="0" fontId="20" fillId="2" borderId="0" xfId="0" applyFont="1" applyFill="1"/>
    <xf numFmtId="0" fontId="18" fillId="2" borderId="14" xfId="0" applyFont="1" applyFill="1" applyBorder="1" applyAlignment="1">
      <alignment horizontal="left"/>
    </xf>
    <xf numFmtId="168" fontId="18" fillId="2" borderId="0" xfId="1" applyNumberFormat="1" applyFont="1" applyFill="1" applyBorder="1" applyAlignment="1">
      <alignment horizontal="left"/>
    </xf>
    <xf numFmtId="168" fontId="18" fillId="2" borderId="0" xfId="0" applyNumberFormat="1" applyFont="1" applyFill="1" applyBorder="1" applyAlignment="1"/>
    <xf numFmtId="169" fontId="18" fillId="2" borderId="15" xfId="3" applyNumberFormat="1" applyFont="1" applyFill="1" applyBorder="1" applyAlignment="1"/>
    <xf numFmtId="169" fontId="18" fillId="2" borderId="0" xfId="0" applyNumberFormat="1" applyFont="1" applyFill="1"/>
    <xf numFmtId="0" fontId="21" fillId="2" borderId="16" xfId="0" applyFont="1" applyFill="1" applyBorder="1" applyAlignment="1">
      <alignment horizontal="left"/>
    </xf>
    <xf numFmtId="165" fontId="19" fillId="2" borderId="17" xfId="0" applyNumberFormat="1" applyFont="1" applyFill="1" applyBorder="1" applyAlignment="1">
      <alignment horizontal="left"/>
    </xf>
    <xf numFmtId="168" fontId="19" fillId="2" borderId="17" xfId="0" applyNumberFormat="1" applyFont="1" applyFill="1" applyBorder="1" applyAlignment="1">
      <alignment horizontal="left"/>
    </xf>
    <xf numFmtId="169" fontId="19" fillId="2" borderId="18" xfId="0" applyNumberFormat="1" applyFont="1" applyFill="1" applyBorder="1" applyAlignment="1"/>
    <xf numFmtId="168" fontId="18" fillId="2" borderId="0" xfId="0" applyNumberFormat="1" applyFont="1" applyFill="1"/>
    <xf numFmtId="168" fontId="19" fillId="4" borderId="12" xfId="0" applyNumberFormat="1" applyFont="1" applyFill="1" applyBorder="1" applyAlignment="1"/>
    <xf numFmtId="168" fontId="19" fillId="2" borderId="17" xfId="0" applyNumberFormat="1" applyFont="1" applyFill="1" applyBorder="1" applyAlignment="1"/>
    <xf numFmtId="169" fontId="15" fillId="2" borderId="0" xfId="3" applyNumberFormat="1" applyFont="1" applyFill="1"/>
    <xf numFmtId="169" fontId="5" fillId="2" borderId="0" xfId="3" applyNumberFormat="1" applyFont="1" applyFill="1"/>
    <xf numFmtId="168" fontId="4" fillId="4" borderId="12" xfId="0" applyNumberFormat="1" applyFont="1" applyFill="1" applyBorder="1" applyAlignment="1"/>
    <xf numFmtId="169" fontId="5" fillId="2" borderId="0" xfId="3" applyNumberFormat="1" applyFont="1" applyFill="1" applyBorder="1" applyAlignment="1"/>
    <xf numFmtId="169" fontId="5" fillId="2" borderId="0" xfId="3" applyNumberFormat="1" applyFont="1" applyFill="1" applyBorder="1"/>
    <xf numFmtId="168" fontId="4" fillId="2" borderId="17" xfId="0" applyNumberFormat="1" applyFont="1" applyFill="1" applyBorder="1" applyAlignment="1">
      <alignment horizontal="left"/>
    </xf>
    <xf numFmtId="169" fontId="15" fillId="2" borderId="0" xfId="0" applyNumberFormat="1" applyFont="1" applyFill="1"/>
    <xf numFmtId="10" fontId="15" fillId="2" borderId="0" xfId="0" applyNumberFormat="1" applyFont="1" applyFill="1"/>
    <xf numFmtId="168" fontId="5" fillId="2" borderId="0" xfId="1" applyNumberFormat="1" applyFont="1" applyFill="1" applyBorder="1" applyAlignment="1">
      <alignment horizontal="right"/>
    </xf>
    <xf numFmtId="165" fontId="4" fillId="2" borderId="17" xfId="0" applyNumberFormat="1" applyFont="1" applyFill="1" applyBorder="1" applyAlignment="1">
      <alignment horizontal="right"/>
    </xf>
    <xf numFmtId="0" fontId="7" fillId="2" borderId="0" xfId="0" applyFont="1" applyFill="1" applyBorder="1" applyAlignment="1">
      <alignment horizontal="left"/>
    </xf>
    <xf numFmtId="165" fontId="4" fillId="2" borderId="0" xfId="0" applyNumberFormat="1" applyFont="1" applyFill="1" applyBorder="1" applyAlignment="1">
      <alignment horizontal="left"/>
    </xf>
    <xf numFmtId="168" fontId="4" fillId="2" borderId="0" xfId="0" applyNumberFormat="1" applyFont="1" applyFill="1" applyBorder="1" applyAlignment="1"/>
    <xf numFmtId="169" fontId="4" fillId="2" borderId="0" xfId="0" applyNumberFormat="1" applyFont="1" applyFill="1" applyBorder="1" applyAlignment="1"/>
    <xf numFmtId="169" fontId="16" fillId="2" borderId="0" xfId="0" applyNumberFormat="1" applyFont="1" applyFill="1"/>
    <xf numFmtId="168" fontId="4" fillId="2" borderId="0" xfId="0" applyNumberFormat="1" applyFont="1" applyFill="1" applyBorder="1" applyAlignment="1">
      <alignment horizontal="left"/>
    </xf>
    <xf numFmtId="169" fontId="5" fillId="0" borderId="0" xfId="3" applyNumberFormat="1" applyFont="1" applyBorder="1"/>
    <xf numFmtId="49" fontId="22" fillId="0" borderId="0" xfId="0" applyNumberFormat="1" applyFont="1" applyAlignment="1">
      <alignment horizontal="centerContinuous"/>
    </xf>
    <xf numFmtId="49" fontId="23" fillId="0" borderId="0" xfId="0" applyNumberFormat="1" applyFont="1" applyAlignment="1">
      <alignment horizontal="centerContinuous"/>
    </xf>
    <xf numFmtId="0" fontId="24" fillId="0" borderId="0" xfId="0" applyNumberFormat="1" applyFont="1"/>
    <xf numFmtId="49" fontId="24" fillId="0" borderId="0" xfId="0" applyNumberFormat="1" applyFont="1"/>
    <xf numFmtId="49" fontId="0" fillId="0" borderId="0" xfId="0" applyNumberFormat="1"/>
    <xf numFmtId="0" fontId="24" fillId="0" borderId="0" xfId="0" applyFont="1"/>
    <xf numFmtId="49" fontId="25" fillId="0" borderId="0" xfId="0" applyNumberFormat="1" applyFont="1" applyAlignment="1">
      <alignment horizontal="centerContinuous"/>
    </xf>
    <xf numFmtId="49" fontId="24" fillId="0" borderId="0" xfId="0" quotePrefix="1" applyNumberFormat="1" applyFont="1"/>
    <xf numFmtId="49" fontId="26" fillId="0" borderId="0" xfId="0" applyNumberFormat="1" applyFont="1" applyAlignment="1">
      <alignment horizontal="centerContinuous"/>
    </xf>
    <xf numFmtId="49" fontId="23" fillId="0" borderId="0" xfId="0" applyNumberFormat="1" applyFont="1" applyAlignment="1">
      <alignment horizontal="center"/>
    </xf>
    <xf numFmtId="0" fontId="0" fillId="0" borderId="0" xfId="0" applyAlignment="1">
      <alignment horizontal="center"/>
    </xf>
    <xf numFmtId="49" fontId="0" fillId="0" borderId="0" xfId="0" applyNumberFormat="1" applyAlignment="1">
      <alignment horizontal="center"/>
    </xf>
    <xf numFmtId="0" fontId="24" fillId="0" borderId="0" xfId="0" applyFont="1" applyAlignment="1">
      <alignment horizontal="center"/>
    </xf>
    <xf numFmtId="49" fontId="23" fillId="0" borderId="0" xfId="0" applyNumberFormat="1" applyFont="1" applyAlignment="1">
      <alignment horizontal="center" wrapText="1"/>
    </xf>
    <xf numFmtId="49" fontId="23" fillId="0" borderId="21" xfId="0" applyNumberFormat="1" applyFont="1" applyBorder="1" applyAlignment="1">
      <alignment horizontal="center" wrapText="1"/>
    </xf>
    <xf numFmtId="0" fontId="27" fillId="0" borderId="0" xfId="0" applyFont="1" applyAlignment="1">
      <alignment horizontal="center" wrapText="1"/>
    </xf>
    <xf numFmtId="0" fontId="0" fillId="0" borderId="0" xfId="0" applyAlignment="1">
      <alignment horizontal="center" wrapText="1"/>
    </xf>
    <xf numFmtId="49" fontId="23" fillId="0" borderId="0" xfId="0" applyNumberFormat="1" applyFont="1"/>
    <xf numFmtId="40" fontId="28" fillId="0" borderId="0" xfId="0" applyNumberFormat="1" applyFont="1"/>
    <xf numFmtId="40" fontId="28" fillId="0" borderId="22" xfId="0" applyNumberFormat="1" applyFont="1" applyBorder="1"/>
    <xf numFmtId="40" fontId="28" fillId="0" borderId="0" xfId="0" applyNumberFormat="1" applyFont="1" applyBorder="1"/>
    <xf numFmtId="40" fontId="28" fillId="0" borderId="12" xfId="0" applyNumberFormat="1" applyFont="1" applyBorder="1"/>
    <xf numFmtId="40" fontId="28" fillId="0" borderId="0" xfId="0" applyNumberFormat="1" applyFont="1" applyFill="1"/>
    <xf numFmtId="0" fontId="23" fillId="0" borderId="0" xfId="0" applyNumberFormat="1" applyFont="1"/>
    <xf numFmtId="0" fontId="0" fillId="0" borderId="0" xfId="0" applyNumberFormat="1"/>
    <xf numFmtId="0" fontId="29" fillId="0" borderId="0" xfId="0" applyFont="1"/>
    <xf numFmtId="40" fontId="30" fillId="0" borderId="0" xfId="0" applyNumberFormat="1" applyFont="1"/>
    <xf numFmtId="38" fontId="0" fillId="0" borderId="0" xfId="0" applyNumberFormat="1"/>
    <xf numFmtId="49" fontId="31" fillId="0" borderId="0" xfId="0" applyNumberFormat="1" applyFont="1"/>
    <xf numFmtId="38" fontId="0" fillId="0" borderId="0" xfId="0" applyNumberFormat="1" applyFill="1"/>
    <xf numFmtId="0" fontId="29" fillId="2" borderId="0" xfId="0" applyFont="1" applyFill="1"/>
    <xf numFmtId="0" fontId="30" fillId="2" borderId="0" xfId="0" applyFont="1" applyFill="1"/>
    <xf numFmtId="0" fontId="34" fillId="4" borderId="11" xfId="0" applyFont="1" applyFill="1" applyBorder="1" applyAlignment="1">
      <alignment horizontal="left"/>
    </xf>
    <xf numFmtId="165" fontId="34" fillId="4" borderId="12" xfId="0" applyNumberFormat="1" applyFont="1" applyFill="1" applyBorder="1" applyAlignment="1">
      <alignment horizontal="left"/>
    </xf>
    <xf numFmtId="169" fontId="34" fillId="4" borderId="13" xfId="0" quotePrefix="1" applyNumberFormat="1" applyFont="1" applyFill="1" applyBorder="1" applyAlignment="1"/>
    <xf numFmtId="168" fontId="35" fillId="2" borderId="0" xfId="1" applyNumberFormat="1" applyFont="1" applyFill="1" applyBorder="1" applyAlignment="1">
      <alignment horizontal="left"/>
    </xf>
    <xf numFmtId="0" fontId="35" fillId="2" borderId="14" xfId="0" applyFont="1" applyFill="1" applyBorder="1" applyAlignment="1">
      <alignment horizontal="left"/>
    </xf>
    <xf numFmtId="168" fontId="35" fillId="2" borderId="0" xfId="0" applyNumberFormat="1" applyFont="1" applyFill="1" applyBorder="1" applyAlignment="1"/>
    <xf numFmtId="169" fontId="35" fillId="2" borderId="15" xfId="3" applyNumberFormat="1" applyFont="1" applyFill="1" applyBorder="1" applyAlignment="1"/>
    <xf numFmtId="0" fontId="36" fillId="2" borderId="16" xfId="0" applyFont="1" applyFill="1" applyBorder="1" applyAlignment="1">
      <alignment horizontal="left"/>
    </xf>
    <xf numFmtId="165" fontId="34" fillId="2" borderId="17" xfId="0" applyNumberFormat="1" applyFont="1" applyFill="1" applyBorder="1" applyAlignment="1">
      <alignment horizontal="left"/>
    </xf>
    <xf numFmtId="168" fontId="34" fillId="2" borderId="17" xfId="0" applyNumberFormat="1" applyFont="1" applyFill="1" applyBorder="1" applyAlignment="1">
      <alignment horizontal="left"/>
    </xf>
    <xf numFmtId="169" fontId="34" fillId="2" borderId="18" xfId="0" applyNumberFormat="1" applyFont="1" applyFill="1" applyBorder="1" applyAlignment="1"/>
    <xf numFmtId="165" fontId="34" fillId="4" borderId="12" xfId="0" applyNumberFormat="1" applyFont="1" applyFill="1" applyBorder="1" applyAlignment="1"/>
    <xf numFmtId="165" fontId="34" fillId="0" borderId="0" xfId="0" applyNumberFormat="1" applyFont="1" applyFill="1" applyBorder="1" applyAlignment="1">
      <alignment horizontal="left"/>
    </xf>
    <xf numFmtId="0" fontId="30" fillId="0" borderId="0" xfId="0" applyFont="1"/>
    <xf numFmtId="165" fontId="34" fillId="2" borderId="17" xfId="0" applyNumberFormat="1" applyFont="1" applyFill="1" applyBorder="1" applyAlignment="1"/>
    <xf numFmtId="1" fontId="30" fillId="0" borderId="0" xfId="0" applyNumberFormat="1" applyFont="1"/>
    <xf numFmtId="0" fontId="37" fillId="0" borderId="0" xfId="0" applyFont="1"/>
    <xf numFmtId="169" fontId="30" fillId="2" borderId="0" xfId="3" applyNumberFormat="1" applyFont="1" applyFill="1"/>
    <xf numFmtId="0" fontId="5" fillId="2" borderId="0" xfId="0" applyFont="1" applyFill="1" applyBorder="1" applyAlignment="1">
      <alignment horizontal="left"/>
    </xf>
    <xf numFmtId="168" fontId="0" fillId="0" borderId="0" xfId="0" applyNumberFormat="1"/>
    <xf numFmtId="168" fontId="0" fillId="0" borderId="0" xfId="1" applyNumberFormat="1" applyFont="1"/>
    <xf numFmtId="40" fontId="30" fillId="2" borderId="0" xfId="0" applyNumberFormat="1" applyFont="1" applyFill="1"/>
    <xf numFmtId="172" fontId="30" fillId="2" borderId="0" xfId="0" applyNumberFormat="1" applyFont="1" applyFill="1"/>
    <xf numFmtId="168" fontId="30" fillId="2" borderId="0" xfId="0" applyNumberFormat="1" applyFont="1" applyFill="1"/>
    <xf numFmtId="0" fontId="29" fillId="0" borderId="0" xfId="0" applyFont="1" applyAlignment="1"/>
    <xf numFmtId="0" fontId="38" fillId="0" borderId="0" xfId="0" applyFont="1"/>
    <xf numFmtId="3" fontId="38" fillId="0" borderId="0" xfId="0" applyNumberFormat="1" applyFont="1" applyFill="1"/>
    <xf numFmtId="0" fontId="30" fillId="0" borderId="0" xfId="0" applyFont="1" applyAlignment="1">
      <alignment horizontal="center"/>
    </xf>
    <xf numFmtId="172" fontId="30" fillId="0" borderId="0" xfId="1" applyNumberFormat="1" applyFont="1"/>
    <xf numFmtId="169" fontId="30" fillId="0" borderId="0" xfId="3" applyNumberFormat="1" applyFont="1"/>
    <xf numFmtId="43" fontId="30" fillId="0" borderId="0" xfId="0" applyNumberFormat="1" applyFont="1"/>
    <xf numFmtId="0" fontId="30" fillId="0" borderId="0" xfId="0" applyFont="1" applyFill="1"/>
    <xf numFmtId="0" fontId="36" fillId="0" borderId="0" xfId="0" applyFont="1" applyFill="1" applyBorder="1" applyAlignment="1">
      <alignment horizontal="left"/>
    </xf>
    <xf numFmtId="0" fontId="40" fillId="0" borderId="0" xfId="0" applyFont="1"/>
    <xf numFmtId="3" fontId="41" fillId="0" borderId="0" xfId="0" applyNumberFormat="1" applyFont="1"/>
    <xf numFmtId="0" fontId="41" fillId="0" borderId="0" xfId="0" applyFont="1"/>
    <xf numFmtId="0" fontId="29" fillId="0" borderId="0" xfId="0" applyFont="1" applyAlignment="1">
      <alignment vertical="center"/>
    </xf>
    <xf numFmtId="0" fontId="29" fillId="0" borderId="0" xfId="0" applyFont="1" applyAlignment="1">
      <alignment horizontal="center" vertical="center" wrapText="1"/>
    </xf>
    <xf numFmtId="0" fontId="29" fillId="0" borderId="0" xfId="0" applyFont="1" applyAlignment="1">
      <alignment horizontal="left"/>
    </xf>
    <xf numFmtId="44" fontId="30" fillId="0" borderId="0" xfId="2" applyFont="1"/>
    <xf numFmtId="173" fontId="30" fillId="0" borderId="0" xfId="2" applyNumberFormat="1" applyFont="1"/>
    <xf numFmtId="173" fontId="30" fillId="0" borderId="0" xfId="2" applyNumberFormat="1" applyFont="1" applyAlignment="1">
      <alignment horizontal="right"/>
    </xf>
    <xf numFmtId="173" fontId="30" fillId="0" borderId="0" xfId="0" applyNumberFormat="1" applyFont="1"/>
    <xf numFmtId="44" fontId="29" fillId="0" borderId="0" xfId="0" applyNumberFormat="1" applyFont="1"/>
    <xf numFmtId="173" fontId="29" fillId="0" borderId="0" xfId="0" applyNumberFormat="1" applyFont="1"/>
    <xf numFmtId="168" fontId="34" fillId="4" borderId="24" xfId="0" applyNumberFormat="1" applyFont="1" applyFill="1" applyBorder="1" applyAlignment="1"/>
    <xf numFmtId="0" fontId="29" fillId="4" borderId="24" xfId="0" applyFont="1" applyFill="1" applyBorder="1"/>
    <xf numFmtId="169" fontId="34" fillId="4" borderId="23" xfId="0" quotePrefix="1" applyNumberFormat="1" applyFont="1" applyFill="1" applyBorder="1" applyAlignment="1"/>
    <xf numFmtId="169" fontId="30" fillId="2" borderId="25" xfId="3" applyNumberFormat="1" applyFont="1" applyFill="1" applyBorder="1"/>
    <xf numFmtId="169" fontId="30" fillId="0" borderId="17" xfId="3" applyNumberFormat="1" applyFont="1" applyFill="1" applyBorder="1"/>
    <xf numFmtId="168" fontId="35" fillId="0" borderId="0" xfId="1" applyNumberFormat="1" applyFont="1" applyFill="1" applyBorder="1" applyAlignment="1">
      <alignment horizontal="left"/>
    </xf>
    <xf numFmtId="0" fontId="34" fillId="0" borderId="0" xfId="0" applyFont="1" applyFill="1" applyBorder="1" applyAlignment="1">
      <alignment horizontal="left"/>
    </xf>
    <xf numFmtId="0" fontId="0" fillId="0" borderId="0" xfId="0" applyFill="1" applyBorder="1"/>
    <xf numFmtId="0" fontId="35" fillId="0" borderId="0" xfId="0" applyFont="1" applyFill="1" applyBorder="1" applyAlignment="1">
      <alignment horizontal="left"/>
    </xf>
    <xf numFmtId="0" fontId="30" fillId="0" borderId="0" xfId="0" applyFont="1" applyFill="1" applyBorder="1"/>
    <xf numFmtId="172" fontId="30" fillId="0" borderId="0" xfId="1" applyNumberFormat="1" applyFont="1" applyAlignment="1"/>
    <xf numFmtId="0" fontId="29" fillId="0" borderId="0" xfId="0" applyFont="1" applyFill="1"/>
    <xf numFmtId="173" fontId="29" fillId="0" borderId="0" xfId="3" applyNumberFormat="1" applyFont="1"/>
    <xf numFmtId="173" fontId="29" fillId="0" borderId="0" xfId="1" applyNumberFormat="1" applyFont="1"/>
    <xf numFmtId="0" fontId="39" fillId="0" borderId="0" xfId="0" applyFont="1" applyFill="1" applyAlignment="1">
      <alignment horizontal="center" wrapText="1"/>
    </xf>
    <xf numFmtId="44" fontId="0" fillId="0" borderId="0" xfId="2" applyFont="1"/>
    <xf numFmtId="0" fontId="42" fillId="0" borderId="0" xfId="0" applyFont="1"/>
    <xf numFmtId="172" fontId="30" fillId="0" borderId="0" xfId="1" applyNumberFormat="1" applyFont="1" applyFill="1" applyAlignment="1">
      <alignment horizontal="center"/>
    </xf>
    <xf numFmtId="0" fontId="41" fillId="0" borderId="0" xfId="0" applyFont="1" applyFill="1"/>
    <xf numFmtId="0" fontId="41" fillId="0" borderId="0" xfId="0" applyFont="1" applyFill="1" applyAlignment="1">
      <alignment vertical="center"/>
    </xf>
    <xf numFmtId="3" fontId="30" fillId="0" borderId="0" xfId="0" applyNumberFormat="1" applyFont="1"/>
    <xf numFmtId="9" fontId="43" fillId="2" borderId="0" xfId="3" applyFont="1" applyFill="1"/>
    <xf numFmtId="0" fontId="43" fillId="2" borderId="0" xfId="0" applyFont="1" applyFill="1"/>
    <xf numFmtId="9" fontId="43" fillId="3" borderId="0" xfId="0" applyNumberFormat="1" applyFont="1" applyFill="1"/>
    <xf numFmtId="0" fontId="35" fillId="2" borderId="0" xfId="0" applyFont="1" applyFill="1"/>
    <xf numFmtId="169" fontId="43" fillId="2" borderId="0" xfId="0" applyNumberFormat="1" applyFont="1" applyFill="1"/>
    <xf numFmtId="10" fontId="43" fillId="2" borderId="0" xfId="0" applyNumberFormat="1" applyFont="1" applyFill="1"/>
    <xf numFmtId="169" fontId="35" fillId="2" borderId="0" xfId="0" applyNumberFormat="1" applyFont="1" applyFill="1"/>
    <xf numFmtId="169" fontId="34" fillId="2" borderId="0" xfId="0" applyNumberFormat="1" applyFont="1" applyFill="1"/>
    <xf numFmtId="0" fontId="35" fillId="2" borderId="0" xfId="0" applyFont="1" applyFill="1" applyAlignment="1"/>
    <xf numFmtId="0" fontId="34" fillId="2" borderId="0" xfId="0" applyFont="1" applyFill="1" applyAlignment="1"/>
    <xf numFmtId="0" fontId="31" fillId="0" borderId="0" xfId="0" applyFont="1"/>
    <xf numFmtId="0" fontId="42" fillId="2" borderId="0" xfId="0" applyFont="1" applyFill="1"/>
    <xf numFmtId="0" fontId="17" fillId="0" borderId="0" xfId="0" applyFont="1"/>
    <xf numFmtId="0" fontId="11" fillId="0" borderId="0" xfId="0" applyFont="1" applyAlignment="1"/>
    <xf numFmtId="170" fontId="37" fillId="0" borderId="0" xfId="0" applyNumberFormat="1" applyFont="1"/>
    <xf numFmtId="0" fontId="44" fillId="0" borderId="0" xfId="0" applyFont="1"/>
    <xf numFmtId="0" fontId="45" fillId="0" borderId="0" xfId="0" applyFont="1"/>
    <xf numFmtId="49" fontId="23" fillId="0" borderId="0" xfId="386" applyNumberFormat="1" applyFont="1" applyAlignment="1">
      <alignment horizontal="center"/>
    </xf>
    <xf numFmtId="49" fontId="23" fillId="0" borderId="21" xfId="386" applyNumberFormat="1" applyFont="1" applyBorder="1" applyAlignment="1">
      <alignment horizontal="center"/>
    </xf>
    <xf numFmtId="49" fontId="47" fillId="0" borderId="0" xfId="386" applyNumberFormat="1" applyAlignment="1">
      <alignment horizontal="center"/>
    </xf>
    <xf numFmtId="0" fontId="47" fillId="0" borderId="0" xfId="386" applyAlignment="1">
      <alignment horizontal="center"/>
    </xf>
    <xf numFmtId="49" fontId="23" fillId="0" borderId="0" xfId="386" applyNumberFormat="1" applyFont="1"/>
    <xf numFmtId="40" fontId="28" fillId="0" borderId="0" xfId="386" applyNumberFormat="1" applyFont="1"/>
    <xf numFmtId="49" fontId="28" fillId="0" borderId="0" xfId="386" applyNumberFormat="1" applyFont="1"/>
    <xf numFmtId="0" fontId="47" fillId="0" borderId="0" xfId="386"/>
    <xf numFmtId="40" fontId="28" fillId="0" borderId="22" xfId="386" applyNumberFormat="1" applyFont="1" applyBorder="1"/>
    <xf numFmtId="40" fontId="28" fillId="0" borderId="0" xfId="386" applyNumberFormat="1" applyFont="1" applyBorder="1"/>
    <xf numFmtId="40" fontId="28" fillId="0" borderId="26" xfId="386" applyNumberFormat="1" applyFont="1" applyBorder="1"/>
    <xf numFmtId="0" fontId="23" fillId="0" borderId="0" xfId="386" applyNumberFormat="1" applyFont="1"/>
    <xf numFmtId="0" fontId="47" fillId="0" borderId="0" xfId="386" applyNumberFormat="1"/>
    <xf numFmtId="168" fontId="0" fillId="0" borderId="0" xfId="392" applyNumberFormat="1" applyFont="1"/>
    <xf numFmtId="167" fontId="47" fillId="0" borderId="0" xfId="386" applyNumberFormat="1"/>
    <xf numFmtId="40" fontId="47" fillId="0" borderId="0" xfId="386" applyNumberFormat="1"/>
    <xf numFmtId="40" fontId="28" fillId="0" borderId="12" xfId="386" applyNumberFormat="1" applyFont="1" applyBorder="1"/>
    <xf numFmtId="40" fontId="23" fillId="0" borderId="27" xfId="386" applyNumberFormat="1" applyFont="1" applyBorder="1"/>
    <xf numFmtId="0" fontId="23" fillId="0" borderId="0" xfId="386" applyFont="1"/>
    <xf numFmtId="49" fontId="22" fillId="0" borderId="0" xfId="386" applyNumberFormat="1" applyFont="1"/>
    <xf numFmtId="49" fontId="47" fillId="0" borderId="0" xfId="386" applyNumberFormat="1"/>
    <xf numFmtId="49" fontId="48" fillId="0" borderId="0" xfId="386" applyNumberFormat="1" applyFont="1" applyAlignment="1">
      <alignment horizontal="right"/>
    </xf>
    <xf numFmtId="49" fontId="25" fillId="0" borderId="0" xfId="386" applyNumberFormat="1" applyFont="1"/>
    <xf numFmtId="174" fontId="48" fillId="0" borderId="0" xfId="386" applyNumberFormat="1" applyFont="1" applyAlignment="1">
      <alignment horizontal="right"/>
    </xf>
    <xf numFmtId="49" fontId="26" fillId="0" borderId="0" xfId="386" applyNumberFormat="1" applyFont="1"/>
    <xf numFmtId="49" fontId="23" fillId="0" borderId="0" xfId="386" applyNumberFormat="1" applyFont="1" applyBorder="1" applyAlignment="1">
      <alignment horizontal="centerContinuous"/>
    </xf>
    <xf numFmtId="49" fontId="47" fillId="0" borderId="0" xfId="386" applyNumberFormat="1" applyBorder="1" applyAlignment="1">
      <alignment horizontal="centerContinuous"/>
    </xf>
    <xf numFmtId="49" fontId="23" fillId="0" borderId="28" xfId="386" applyNumberFormat="1" applyFont="1" applyBorder="1" applyAlignment="1">
      <alignment horizontal="center"/>
    </xf>
    <xf numFmtId="49" fontId="23" fillId="5" borderId="0" xfId="386" applyNumberFormat="1" applyFont="1" applyFill="1"/>
    <xf numFmtId="0" fontId="15" fillId="0" borderId="0" xfId="386" applyFont="1"/>
    <xf numFmtId="0" fontId="31" fillId="0" borderId="0" xfId="386" applyFont="1"/>
    <xf numFmtId="0" fontId="47" fillId="0" borderId="0" xfId="386" applyFill="1"/>
    <xf numFmtId="49" fontId="23" fillId="0" borderId="0" xfId="386" applyNumberFormat="1" applyFont="1" applyFill="1"/>
    <xf numFmtId="168" fontId="0" fillId="0" borderId="0" xfId="392" applyNumberFormat="1" applyFont="1" applyFill="1"/>
    <xf numFmtId="167" fontId="0" fillId="0" borderId="0" xfId="392" applyNumberFormat="1" applyFont="1" applyFill="1"/>
    <xf numFmtId="168" fontId="47" fillId="0" borderId="0" xfId="386" applyNumberFormat="1"/>
    <xf numFmtId="169" fontId="0" fillId="0" borderId="0" xfId="394" applyNumberFormat="1" applyFont="1"/>
    <xf numFmtId="169" fontId="0" fillId="0" borderId="0" xfId="394" applyNumberFormat="1" applyFont="1" applyFill="1" applyBorder="1"/>
    <xf numFmtId="9" fontId="47" fillId="0" borderId="0" xfId="386" applyNumberFormat="1"/>
    <xf numFmtId="0" fontId="5" fillId="0" borderId="0" xfId="386" applyFont="1" applyFill="1" applyBorder="1" applyAlignment="1">
      <alignment horizontal="left"/>
    </xf>
    <xf numFmtId="168" fontId="0" fillId="0" borderId="0" xfId="392" applyNumberFormat="1" applyFont="1" applyFill="1" applyBorder="1"/>
    <xf numFmtId="168" fontId="47" fillId="0" borderId="0" xfId="386" applyNumberFormat="1" applyFill="1" applyBorder="1"/>
    <xf numFmtId="10" fontId="47" fillId="0" borderId="0" xfId="386" applyNumberFormat="1"/>
    <xf numFmtId="9" fontId="47" fillId="0" borderId="0" xfId="3" applyFont="1"/>
    <xf numFmtId="168" fontId="49" fillId="0" borderId="21" xfId="392" applyNumberFormat="1" applyFont="1" applyBorder="1" applyAlignment="1">
      <alignment horizontal="center"/>
    </xf>
    <xf numFmtId="168" fontId="50" fillId="0" borderId="0" xfId="392" applyNumberFormat="1" applyFont="1"/>
    <xf numFmtId="168" fontId="50" fillId="0" borderId="22" xfId="392" applyNumberFormat="1" applyFont="1" applyBorder="1"/>
    <xf numFmtId="168" fontId="50" fillId="0" borderId="0" xfId="392" applyNumberFormat="1" applyFont="1" applyBorder="1"/>
    <xf numFmtId="168" fontId="50" fillId="0" borderId="26" xfId="392" applyNumberFormat="1" applyFont="1" applyBorder="1"/>
    <xf numFmtId="168" fontId="50" fillId="0" borderId="12" xfId="392" applyNumberFormat="1" applyFont="1" applyBorder="1"/>
    <xf numFmtId="168" fontId="49" fillId="0" borderId="27" xfId="392" applyNumberFormat="1" applyFont="1" applyBorder="1"/>
    <xf numFmtId="168" fontId="47" fillId="0" borderId="0" xfId="392" applyNumberFormat="1" applyFont="1"/>
    <xf numFmtId="44" fontId="47" fillId="0" borderId="0" xfId="2" applyFont="1"/>
    <xf numFmtId="40" fontId="47" fillId="0" borderId="0" xfId="386" applyNumberFormat="1" applyBorder="1"/>
    <xf numFmtId="169" fontId="47" fillId="0" borderId="0" xfId="3" applyNumberFormat="1" applyFont="1"/>
    <xf numFmtId="0" fontId="17" fillId="0" borderId="0" xfId="386" applyFont="1"/>
    <xf numFmtId="0" fontId="17" fillId="0" borderId="10" xfId="386" applyFont="1" applyBorder="1"/>
    <xf numFmtId="169" fontId="47" fillId="0" borderId="10" xfId="3" applyNumberFormat="1" applyFont="1" applyBorder="1"/>
    <xf numFmtId="0" fontId="47" fillId="0" borderId="10" xfId="386" applyBorder="1"/>
    <xf numFmtId="0" fontId="17" fillId="0" borderId="0" xfId="386" applyFont="1" applyBorder="1"/>
    <xf numFmtId="169" fontId="47" fillId="0" borderId="0" xfId="3" applyNumberFormat="1" applyFont="1" applyBorder="1"/>
    <xf numFmtId="0" fontId="17" fillId="0" borderId="29" xfId="386" applyFont="1" applyBorder="1"/>
    <xf numFmtId="0" fontId="47" fillId="0" borderId="29" xfId="386" applyBorder="1"/>
    <xf numFmtId="169" fontId="47" fillId="0" borderId="0" xfId="3" applyNumberFormat="1" applyFont="1" applyAlignment="1">
      <alignment horizontal="right"/>
    </xf>
    <xf numFmtId="0" fontId="17" fillId="0" borderId="0" xfId="386" applyFont="1" applyFill="1" applyAlignment="1">
      <alignment horizontal="center" vertical="center"/>
    </xf>
    <xf numFmtId="0" fontId="31" fillId="0" borderId="0" xfId="386" applyFont="1" applyFill="1" applyAlignment="1">
      <alignment vertical="center"/>
    </xf>
    <xf numFmtId="0" fontId="31" fillId="0" borderId="0" xfId="386" applyFont="1" applyFill="1" applyAlignment="1">
      <alignment vertical="center" wrapText="1"/>
    </xf>
    <xf numFmtId="0" fontId="31" fillId="0" borderId="0" xfId="386" applyFont="1" applyAlignment="1">
      <alignment vertical="center"/>
    </xf>
    <xf numFmtId="49" fontId="23" fillId="0" borderId="10" xfId="386" applyNumberFormat="1" applyFont="1" applyBorder="1"/>
    <xf numFmtId="169" fontId="0" fillId="0" borderId="10" xfId="3" applyNumberFormat="1" applyFont="1" applyBorder="1"/>
    <xf numFmtId="49" fontId="23" fillId="0" borderId="24" xfId="386" applyNumberFormat="1" applyFont="1" applyBorder="1"/>
    <xf numFmtId="168" fontId="0" fillId="0" borderId="24" xfId="392" applyNumberFormat="1" applyFont="1" applyBorder="1"/>
    <xf numFmtId="169" fontId="31" fillId="0" borderId="10" xfId="394" applyNumberFormat="1" applyFont="1" applyBorder="1"/>
    <xf numFmtId="168" fontId="47" fillId="0" borderId="24" xfId="386" applyNumberFormat="1" applyBorder="1"/>
    <xf numFmtId="40" fontId="47" fillId="0" borderId="0" xfId="386" applyNumberFormat="1" applyAlignment="1">
      <alignment horizontal="left"/>
    </xf>
    <xf numFmtId="0" fontId="47" fillId="0" borderId="0" xfId="386" applyNumberFormat="1" applyAlignment="1">
      <alignment horizontal="left"/>
    </xf>
    <xf numFmtId="4" fontId="47" fillId="0" borderId="0" xfId="386" applyNumberFormat="1"/>
    <xf numFmtId="0" fontId="47" fillId="0" borderId="4" xfId="386" applyNumberFormat="1" applyBorder="1" applyAlignment="1">
      <alignment horizontal="left"/>
    </xf>
    <xf numFmtId="0" fontId="47" fillId="0" borderId="4" xfId="386" applyNumberFormat="1" applyBorder="1"/>
    <xf numFmtId="40" fontId="47" fillId="0" borderId="4" xfId="386" applyNumberFormat="1" applyBorder="1"/>
    <xf numFmtId="9" fontId="47" fillId="0" borderId="4" xfId="3" applyFont="1" applyBorder="1"/>
    <xf numFmtId="40" fontId="47" fillId="0" borderId="22" xfId="386" applyNumberFormat="1" applyBorder="1"/>
    <xf numFmtId="0" fontId="47" fillId="0" borderId="22" xfId="386" applyNumberFormat="1" applyBorder="1"/>
    <xf numFmtId="173" fontId="47" fillId="0" borderId="0" xfId="2" applyNumberFormat="1" applyFont="1"/>
    <xf numFmtId="164" fontId="47" fillId="0" borderId="0" xfId="386" applyNumberFormat="1"/>
    <xf numFmtId="0" fontId="0" fillId="0" borderId="22" xfId="0" applyBorder="1"/>
    <xf numFmtId="0" fontId="31" fillId="0" borderId="0" xfId="386" applyFont="1" applyFill="1" applyBorder="1" applyAlignment="1">
      <alignment wrapText="1"/>
    </xf>
    <xf numFmtId="175" fontId="31" fillId="0" borderId="0" xfId="392" applyNumberFormat="1" applyFont="1" applyFill="1" applyBorder="1" applyAlignment="1">
      <alignment wrapText="1"/>
    </xf>
    <xf numFmtId="0" fontId="47" fillId="0" borderId="0" xfId="386" applyFill="1" applyBorder="1" applyAlignment="1">
      <alignment wrapText="1"/>
    </xf>
    <xf numFmtId="0" fontId="31" fillId="0" borderId="3" xfId="386" applyFont="1" applyFill="1" applyBorder="1" applyAlignment="1">
      <alignment wrapText="1"/>
    </xf>
    <xf numFmtId="168" fontId="31" fillId="0" borderId="3" xfId="392" applyNumberFormat="1" applyFont="1" applyFill="1" applyBorder="1" applyAlignment="1">
      <alignment wrapText="1"/>
    </xf>
    <xf numFmtId="168" fontId="31" fillId="0" borderId="0" xfId="392" applyNumberFormat="1" applyFont="1" applyFill="1" applyBorder="1" applyAlignment="1">
      <alignment wrapText="1"/>
    </xf>
    <xf numFmtId="175" fontId="0" fillId="0" borderId="0" xfId="392" applyNumberFormat="1" applyFont="1" applyFill="1" applyBorder="1" applyAlignment="1">
      <alignment wrapText="1"/>
    </xf>
    <xf numFmtId="0" fontId="47" fillId="0" borderId="0" xfId="386" applyFill="1" applyBorder="1" applyAlignment="1"/>
    <xf numFmtId="168" fontId="0" fillId="0" borderId="0" xfId="392" applyNumberFormat="1" applyFont="1" applyFill="1" applyBorder="1" applyAlignment="1">
      <alignment wrapText="1"/>
    </xf>
    <xf numFmtId="0" fontId="47" fillId="0" borderId="4" xfId="386" applyFill="1" applyBorder="1" applyAlignment="1">
      <alignment wrapText="1"/>
    </xf>
    <xf numFmtId="168" fontId="0" fillId="0" borderId="4" xfId="392" applyNumberFormat="1" applyFont="1" applyFill="1" applyBorder="1" applyAlignment="1">
      <alignment wrapText="1"/>
    </xf>
    <xf numFmtId="0" fontId="31" fillId="0" borderId="10" xfId="386" applyFont="1" applyFill="1" applyBorder="1" applyAlignment="1">
      <alignment wrapText="1"/>
    </xf>
    <xf numFmtId="9" fontId="47" fillId="0" borderId="0" xfId="386" applyNumberFormat="1" applyFill="1" applyBorder="1" applyAlignment="1">
      <alignment wrapText="1"/>
    </xf>
    <xf numFmtId="0" fontId="17" fillId="0" borderId="0" xfId="386" applyFont="1" applyBorder="1" applyAlignment="1">
      <alignment horizontal="right"/>
    </xf>
    <xf numFmtId="0" fontId="15" fillId="0" borderId="0" xfId="386" applyFont="1" applyBorder="1" applyAlignment="1"/>
    <xf numFmtId="0" fontId="51" fillId="0" borderId="0" xfId="386" applyFont="1" applyBorder="1" applyAlignment="1">
      <alignment horizontal="right"/>
    </xf>
    <xf numFmtId="0" fontId="15" fillId="0" borderId="0" xfId="386" applyFont="1" applyBorder="1" applyAlignment="1">
      <alignment horizontal="right"/>
    </xf>
    <xf numFmtId="169" fontId="47" fillId="0" borderId="24" xfId="3" applyNumberFormat="1" applyFont="1" applyBorder="1"/>
    <xf numFmtId="44" fontId="47" fillId="0" borderId="0" xfId="386" applyNumberFormat="1"/>
    <xf numFmtId="166" fontId="47" fillId="0" borderId="0" xfId="386" applyNumberFormat="1"/>
    <xf numFmtId="44" fontId="47" fillId="0" borderId="10" xfId="386" applyNumberFormat="1" applyBorder="1"/>
    <xf numFmtId="49" fontId="23" fillId="0" borderId="0" xfId="386" applyNumberFormat="1" applyFont="1" applyBorder="1" applyAlignment="1">
      <alignment horizontal="left"/>
    </xf>
    <xf numFmtId="166" fontId="47" fillId="0" borderId="10" xfId="386" applyNumberFormat="1" applyBorder="1"/>
    <xf numFmtId="40" fontId="28" fillId="5" borderId="0" xfId="386" applyNumberFormat="1" applyFont="1" applyFill="1"/>
    <xf numFmtId="0" fontId="31" fillId="0" borderId="24" xfId="386" applyFont="1" applyBorder="1"/>
    <xf numFmtId="40" fontId="28" fillId="0" borderId="12" xfId="386" applyNumberFormat="1" applyFont="1" applyFill="1" applyBorder="1"/>
    <xf numFmtId="49" fontId="28" fillId="0" borderId="0" xfId="386" applyNumberFormat="1" applyFont="1" applyFill="1"/>
    <xf numFmtId="40" fontId="47" fillId="0" borderId="0" xfId="386" applyNumberFormat="1" applyFill="1"/>
    <xf numFmtId="0" fontId="47" fillId="0" borderId="25" xfId="386" applyBorder="1"/>
    <xf numFmtId="166" fontId="47" fillId="0" borderId="25" xfId="386" applyNumberFormat="1" applyBorder="1"/>
    <xf numFmtId="43" fontId="47" fillId="0" borderId="0" xfId="1" applyFont="1" applyAlignment="1">
      <alignment horizontal="right"/>
    </xf>
    <xf numFmtId="0" fontId="47" fillId="0" borderId="0" xfId="386" applyBorder="1"/>
    <xf numFmtId="169" fontId="47" fillId="0" borderId="10" xfId="386" applyNumberFormat="1" applyBorder="1"/>
    <xf numFmtId="44" fontId="47" fillId="0" borderId="10" xfId="2" applyFont="1" applyBorder="1"/>
    <xf numFmtId="44" fontId="47" fillId="0" borderId="29" xfId="2" applyFont="1" applyBorder="1"/>
    <xf numFmtId="0" fontId="31" fillId="0" borderId="25" xfId="386" applyFont="1" applyBorder="1"/>
    <xf numFmtId="0" fontId="31" fillId="9" borderId="0" xfId="386" applyFont="1" applyFill="1" applyBorder="1" applyAlignment="1">
      <alignment wrapText="1"/>
    </xf>
    <xf numFmtId="0" fontId="31" fillId="9" borderId="10" xfId="386" applyFont="1" applyFill="1" applyBorder="1" applyAlignment="1">
      <alignment wrapText="1"/>
    </xf>
    <xf numFmtId="168" fontId="31" fillId="8" borderId="10" xfId="392" applyNumberFormat="1" applyFont="1" applyFill="1" applyBorder="1" applyAlignment="1">
      <alignment wrapText="1"/>
    </xf>
    <xf numFmtId="176" fontId="47" fillId="0" borderId="0" xfId="386" applyNumberFormat="1"/>
    <xf numFmtId="176" fontId="55" fillId="0" borderId="0" xfId="386" applyNumberFormat="1" applyFont="1" applyAlignment="1">
      <alignment horizontal="center"/>
    </xf>
    <xf numFmtId="176" fontId="55" fillId="0" borderId="21" xfId="386" applyNumberFormat="1" applyFont="1" applyBorder="1" applyAlignment="1">
      <alignment horizontal="center"/>
    </xf>
    <xf numFmtId="176" fontId="47" fillId="0" borderId="0" xfId="386" applyNumberFormat="1" applyFont="1"/>
    <xf numFmtId="176" fontId="56" fillId="0" borderId="0" xfId="386" applyNumberFormat="1" applyFont="1"/>
    <xf numFmtId="176" fontId="47" fillId="0" borderId="0" xfId="392" applyNumberFormat="1" applyFont="1"/>
    <xf numFmtId="176" fontId="56" fillId="0" borderId="0" xfId="386" applyNumberFormat="1" applyFont="1" applyBorder="1"/>
    <xf numFmtId="176" fontId="57" fillId="0" borderId="0" xfId="386" applyNumberFormat="1" applyFont="1"/>
    <xf numFmtId="176" fontId="58" fillId="0" borderId="0" xfId="386" applyNumberFormat="1" applyFont="1"/>
    <xf numFmtId="176" fontId="59" fillId="0" borderId="0" xfId="386" applyNumberFormat="1" applyFont="1"/>
    <xf numFmtId="176" fontId="60" fillId="0" borderId="0" xfId="386" applyNumberFormat="1" applyFont="1"/>
    <xf numFmtId="176" fontId="23" fillId="0" borderId="0" xfId="386" applyNumberFormat="1" applyFont="1"/>
    <xf numFmtId="176" fontId="28" fillId="0" borderId="0" xfId="386" applyNumberFormat="1" applyFont="1"/>
    <xf numFmtId="176" fontId="31" fillId="0" borderId="0" xfId="386" applyNumberFormat="1" applyFont="1"/>
    <xf numFmtId="176" fontId="0" fillId="0" borderId="0" xfId="392" applyNumberFormat="1" applyFont="1"/>
    <xf numFmtId="176" fontId="31" fillId="0" borderId="0" xfId="386" applyNumberFormat="1" applyFont="1" applyAlignment="1">
      <alignment wrapText="1"/>
    </xf>
    <xf numFmtId="177" fontId="47" fillId="0" borderId="0" xfId="386" applyNumberFormat="1"/>
    <xf numFmtId="176" fontId="61" fillId="0" borderId="0" xfId="392" applyNumberFormat="1" applyFont="1"/>
    <xf numFmtId="176" fontId="61" fillId="0" borderId="0" xfId="386" applyNumberFormat="1" applyFont="1"/>
    <xf numFmtId="49" fontId="31" fillId="0" borderId="0" xfId="386" applyNumberFormat="1" applyFont="1"/>
    <xf numFmtId="49" fontId="23" fillId="0" borderId="0" xfId="386" applyNumberFormat="1" applyFont="1" applyAlignment="1">
      <alignment wrapText="1"/>
    </xf>
    <xf numFmtId="49" fontId="23" fillId="0" borderId="0" xfId="386" applyNumberFormat="1" applyFont="1" applyBorder="1" applyAlignment="1">
      <alignment horizontal="centerContinuous" wrapText="1"/>
    </xf>
    <xf numFmtId="0" fontId="47" fillId="0" borderId="0" xfId="386" applyAlignment="1">
      <alignment wrapText="1"/>
    </xf>
    <xf numFmtId="178" fontId="47" fillId="0" borderId="0" xfId="386" applyNumberFormat="1"/>
    <xf numFmtId="49" fontId="23" fillId="0" borderId="0" xfId="386" applyNumberFormat="1" applyFont="1" applyFill="1" applyBorder="1" applyAlignment="1">
      <alignment horizontal="centerContinuous"/>
    </xf>
    <xf numFmtId="0" fontId="31" fillId="0" borderId="0" xfId="386" applyNumberFormat="1" applyFont="1"/>
    <xf numFmtId="179" fontId="47" fillId="0" borderId="0" xfId="2" applyNumberFormat="1" applyFont="1"/>
    <xf numFmtId="49" fontId="23" fillId="0" borderId="0" xfId="386" applyNumberFormat="1" applyFont="1" applyAlignment="1">
      <alignment horizontal="left"/>
    </xf>
    <xf numFmtId="49" fontId="23" fillId="0" borderId="0" xfId="0" applyNumberFormat="1" applyFont="1" applyAlignment="1">
      <alignment horizontal="left"/>
    </xf>
    <xf numFmtId="0" fontId="53" fillId="6" borderId="0" xfId="386" applyFont="1" applyFill="1" applyAlignment="1">
      <alignment horizontal="center"/>
    </xf>
    <xf numFmtId="0" fontId="54" fillId="7" borderId="0" xfId="386" applyFont="1" applyFill="1" applyAlignment="1">
      <alignment horizontal="center"/>
    </xf>
    <xf numFmtId="0" fontId="47" fillId="7" borderId="0" xfId="386" applyFill="1" applyAlignment="1">
      <alignment horizontal="center"/>
    </xf>
    <xf numFmtId="0" fontId="31" fillId="8" borderId="0" xfId="386" applyFont="1" applyFill="1" applyBorder="1" applyAlignment="1">
      <alignment horizontal="center" wrapText="1"/>
    </xf>
    <xf numFmtId="0" fontId="29" fillId="0" borderId="0" xfId="0" applyFont="1" applyAlignment="1">
      <alignment horizontal="center" vertical="center" wrapText="1"/>
    </xf>
    <xf numFmtId="173" fontId="29" fillId="0" borderId="0" xfId="0" applyNumberFormat="1" applyFont="1" applyAlignment="1">
      <alignment horizontal="center"/>
    </xf>
    <xf numFmtId="0" fontId="29" fillId="0" borderId="0" xfId="0" applyFont="1" applyAlignment="1">
      <alignment horizontal="center" vertical="center"/>
    </xf>
    <xf numFmtId="171" fontId="12" fillId="0" borderId="4" xfId="0" applyNumberFormat="1" applyFont="1" applyBorder="1" applyAlignment="1">
      <alignment horizontal="left"/>
    </xf>
    <xf numFmtId="171" fontId="13" fillId="0" borderId="19" xfId="0" applyNumberFormat="1" applyFont="1" applyBorder="1" applyAlignment="1">
      <alignment horizontal="left" wrapText="1"/>
    </xf>
    <xf numFmtId="171" fontId="13" fillId="0" borderId="20" xfId="0" applyNumberFormat="1" applyFont="1" applyBorder="1" applyAlignment="1">
      <alignment horizontal="left" wrapText="1"/>
    </xf>
    <xf numFmtId="171" fontId="13" fillId="0" borderId="1" xfId="0" applyNumberFormat="1" applyFont="1" applyBorder="1" applyAlignment="1">
      <alignment horizontal="left" wrapText="1"/>
    </xf>
    <xf numFmtId="171" fontId="13" fillId="0" borderId="5" xfId="0" applyNumberFormat="1" applyFont="1" applyBorder="1" applyAlignment="1">
      <alignment horizontal="left" vertical="top" wrapText="1"/>
    </xf>
    <xf numFmtId="171" fontId="13" fillId="0" borderId="7" xfId="0" applyNumberFormat="1" applyFont="1" applyBorder="1" applyAlignment="1">
      <alignment horizontal="left" vertical="top" wrapText="1"/>
    </xf>
    <xf numFmtId="171" fontId="13" fillId="0" borderId="8" xfId="0" applyNumberFormat="1" applyFont="1" applyBorder="1" applyAlignment="1">
      <alignment horizontal="left" vertical="top" wrapText="1"/>
    </xf>
    <xf numFmtId="171" fontId="13" fillId="0" borderId="3" xfId="0" applyNumberFormat="1" applyFont="1" applyBorder="1" applyAlignment="1">
      <alignment horizontal="left" vertical="top" wrapText="1"/>
    </xf>
    <xf numFmtId="171" fontId="13" fillId="0" borderId="0" xfId="0" applyNumberFormat="1" applyFont="1" applyBorder="1" applyAlignment="1">
      <alignment horizontal="left" vertical="top" wrapText="1"/>
    </xf>
    <xf numFmtId="171" fontId="13" fillId="0" borderId="4" xfId="0" applyNumberFormat="1" applyFont="1" applyBorder="1" applyAlignment="1">
      <alignment horizontal="left" vertical="top" wrapText="1"/>
    </xf>
  </cellXfs>
  <cellStyles count="553">
    <cellStyle name="Comma" xfId="1" builtinId="3"/>
    <cellStyle name="Comma 2" xfId="387"/>
    <cellStyle name="Comma 3" xfId="392"/>
    <cellStyle name="Currency" xfId="2" builtinId="4"/>
    <cellStyle name="Currency 2" xfId="388"/>
    <cellStyle name="Currency 3" xfId="393"/>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1" builtinId="9" hidden="1"/>
    <cellStyle name="Followed Hyperlink" xfId="93" builtinId="9" hidden="1"/>
    <cellStyle name="Followed Hyperlink" xfId="95" builtinId="9" hidden="1"/>
    <cellStyle name="Followed Hyperlink" xfId="97" builtinId="9" hidden="1"/>
    <cellStyle name="Followed Hyperlink" xfId="99" builtinId="9" hidden="1"/>
    <cellStyle name="Followed Hyperlink" xfId="101" builtinId="9" hidden="1"/>
    <cellStyle name="Followed Hyperlink" xfId="103" builtinId="9" hidden="1"/>
    <cellStyle name="Followed Hyperlink" xfId="105" builtinId="9" hidden="1"/>
    <cellStyle name="Followed Hyperlink" xfId="107" builtinId="9" hidden="1"/>
    <cellStyle name="Followed Hyperlink" xfId="109" builtinId="9" hidden="1"/>
    <cellStyle name="Followed Hyperlink" xfId="111" builtinId="9" hidden="1"/>
    <cellStyle name="Followed Hyperlink" xfId="113" builtinId="9" hidden="1"/>
    <cellStyle name="Followed Hyperlink" xfId="115" builtinId="9" hidden="1"/>
    <cellStyle name="Followed Hyperlink" xfId="117" builtinId="9" hidden="1"/>
    <cellStyle name="Followed Hyperlink" xfId="119" builtinId="9" hidden="1"/>
    <cellStyle name="Followed Hyperlink" xfId="121" builtinId="9" hidden="1"/>
    <cellStyle name="Followed Hyperlink" xfId="123" builtinId="9" hidden="1"/>
    <cellStyle name="Followed Hyperlink" xfId="125" builtinId="9" hidden="1"/>
    <cellStyle name="Followed Hyperlink" xfId="127" builtinId="9" hidden="1"/>
    <cellStyle name="Followed Hyperlink" xfId="129" builtinId="9" hidden="1"/>
    <cellStyle name="Followed Hyperlink" xfId="131" builtinId="9" hidden="1"/>
    <cellStyle name="Followed Hyperlink" xfId="133" builtinId="9" hidden="1"/>
    <cellStyle name="Followed Hyperlink" xfId="135" builtinId="9" hidden="1"/>
    <cellStyle name="Followed Hyperlink" xfId="137" builtinId="9" hidden="1"/>
    <cellStyle name="Followed Hyperlink" xfId="139" builtinId="9" hidden="1"/>
    <cellStyle name="Followed Hyperlink" xfId="141" builtinId="9" hidden="1"/>
    <cellStyle name="Followed Hyperlink" xfId="143" builtinId="9" hidden="1"/>
    <cellStyle name="Followed Hyperlink" xfId="145" builtinId="9" hidden="1"/>
    <cellStyle name="Followed Hyperlink" xfId="147" builtinId="9" hidden="1"/>
    <cellStyle name="Followed Hyperlink" xfId="149" builtinId="9" hidden="1"/>
    <cellStyle name="Followed Hyperlink" xfId="151" builtinId="9" hidden="1"/>
    <cellStyle name="Followed Hyperlink" xfId="153" builtinId="9" hidden="1"/>
    <cellStyle name="Followed Hyperlink" xfId="155" builtinId="9" hidden="1"/>
    <cellStyle name="Followed Hyperlink" xfId="157" builtinId="9" hidden="1"/>
    <cellStyle name="Followed Hyperlink" xfId="159" builtinId="9" hidden="1"/>
    <cellStyle name="Followed Hyperlink" xfId="161" builtinId="9" hidden="1"/>
    <cellStyle name="Followed Hyperlink" xfId="163" builtinId="9" hidden="1"/>
    <cellStyle name="Followed Hyperlink" xfId="165" builtinId="9" hidden="1"/>
    <cellStyle name="Followed Hyperlink" xfId="167" builtinId="9" hidden="1"/>
    <cellStyle name="Followed Hyperlink" xfId="169" builtinId="9" hidden="1"/>
    <cellStyle name="Followed Hyperlink" xfId="171" builtinId="9" hidden="1"/>
    <cellStyle name="Followed Hyperlink" xfId="173" builtinId="9" hidden="1"/>
    <cellStyle name="Followed Hyperlink" xfId="175" builtinId="9" hidden="1"/>
    <cellStyle name="Followed Hyperlink" xfId="177" builtinId="9" hidden="1"/>
    <cellStyle name="Followed Hyperlink" xfId="179" builtinId="9" hidden="1"/>
    <cellStyle name="Followed Hyperlink" xfId="181" builtinId="9" hidden="1"/>
    <cellStyle name="Followed Hyperlink" xfId="183" builtinId="9" hidden="1"/>
    <cellStyle name="Followed Hyperlink" xfId="185" builtinId="9" hidden="1"/>
    <cellStyle name="Followed Hyperlink" xfId="187" builtinId="9" hidden="1"/>
    <cellStyle name="Followed Hyperlink" xfId="189" builtinId="9" hidden="1"/>
    <cellStyle name="Followed Hyperlink" xfId="191" builtinId="9" hidden="1"/>
    <cellStyle name="Followed Hyperlink" xfId="193" builtinId="9" hidden="1"/>
    <cellStyle name="Followed Hyperlink" xfId="195" builtinId="9" hidden="1"/>
    <cellStyle name="Followed Hyperlink" xfId="197" builtinId="9" hidden="1"/>
    <cellStyle name="Followed Hyperlink" xfId="199" builtinId="9" hidden="1"/>
    <cellStyle name="Followed Hyperlink" xfId="201" builtinId="9" hidden="1"/>
    <cellStyle name="Followed Hyperlink" xfId="203" builtinId="9" hidden="1"/>
    <cellStyle name="Followed Hyperlink" xfId="205" builtinId="9" hidden="1"/>
    <cellStyle name="Followed Hyperlink" xfId="207" builtinId="9" hidden="1"/>
    <cellStyle name="Followed Hyperlink" xfId="209" builtinId="9" hidden="1"/>
    <cellStyle name="Followed Hyperlink" xfId="211" builtinId="9" hidden="1"/>
    <cellStyle name="Followed Hyperlink" xfId="213" builtinId="9" hidden="1"/>
    <cellStyle name="Followed Hyperlink" xfId="215" builtinId="9" hidden="1"/>
    <cellStyle name="Followed Hyperlink" xfId="217" builtinId="9" hidden="1"/>
    <cellStyle name="Followed Hyperlink" xfId="219" builtinId="9" hidden="1"/>
    <cellStyle name="Followed Hyperlink" xfId="221" builtinId="9" hidden="1"/>
    <cellStyle name="Followed Hyperlink" xfId="223" builtinId="9" hidden="1"/>
    <cellStyle name="Followed Hyperlink" xfId="225" builtinId="9" hidden="1"/>
    <cellStyle name="Followed Hyperlink" xfId="227" builtinId="9" hidden="1"/>
    <cellStyle name="Followed Hyperlink" xfId="229" builtinId="9" hidden="1"/>
    <cellStyle name="Followed Hyperlink" xfId="231" builtinId="9" hidden="1"/>
    <cellStyle name="Followed Hyperlink" xfId="233" builtinId="9" hidden="1"/>
    <cellStyle name="Followed Hyperlink" xfId="235" builtinId="9" hidden="1"/>
    <cellStyle name="Followed Hyperlink" xfId="237" builtinId="9" hidden="1"/>
    <cellStyle name="Followed Hyperlink" xfId="239" builtinId="9" hidden="1"/>
    <cellStyle name="Followed Hyperlink" xfId="241" builtinId="9" hidden="1"/>
    <cellStyle name="Followed Hyperlink" xfId="243" builtinId="9" hidden="1"/>
    <cellStyle name="Followed Hyperlink" xfId="245" builtinId="9" hidden="1"/>
    <cellStyle name="Followed Hyperlink" xfId="247" builtinId="9" hidden="1"/>
    <cellStyle name="Followed Hyperlink" xfId="249" builtinId="9" hidden="1"/>
    <cellStyle name="Followed Hyperlink" xfId="251" builtinId="9" hidden="1"/>
    <cellStyle name="Followed Hyperlink" xfId="253" builtinId="9" hidden="1"/>
    <cellStyle name="Followed Hyperlink" xfId="255" builtinId="9" hidden="1"/>
    <cellStyle name="Followed Hyperlink" xfId="257" builtinId="9" hidden="1"/>
    <cellStyle name="Followed Hyperlink" xfId="259" builtinId="9" hidden="1"/>
    <cellStyle name="Followed Hyperlink" xfId="261" builtinId="9" hidden="1"/>
    <cellStyle name="Followed Hyperlink" xfId="263" builtinId="9" hidden="1"/>
    <cellStyle name="Followed Hyperlink" xfId="265" builtinId="9" hidden="1"/>
    <cellStyle name="Followed Hyperlink" xfId="267" builtinId="9" hidden="1"/>
    <cellStyle name="Followed Hyperlink" xfId="269" builtinId="9" hidden="1"/>
    <cellStyle name="Followed Hyperlink" xfId="271" builtinId="9" hidden="1"/>
    <cellStyle name="Followed Hyperlink" xfId="273" builtinId="9" hidden="1"/>
    <cellStyle name="Followed Hyperlink" xfId="275" builtinId="9" hidden="1"/>
    <cellStyle name="Followed Hyperlink" xfId="277" builtinId="9" hidden="1"/>
    <cellStyle name="Followed Hyperlink" xfId="279" builtinId="9" hidden="1"/>
    <cellStyle name="Followed Hyperlink" xfId="281" builtinId="9" hidden="1"/>
    <cellStyle name="Followed Hyperlink" xfId="283" builtinId="9" hidden="1"/>
    <cellStyle name="Followed Hyperlink" xfId="285" builtinId="9" hidden="1"/>
    <cellStyle name="Followed Hyperlink" xfId="287" builtinId="9" hidden="1"/>
    <cellStyle name="Followed Hyperlink" xfId="289" builtinId="9" hidden="1"/>
    <cellStyle name="Followed Hyperlink" xfId="291" builtinId="9" hidden="1"/>
    <cellStyle name="Followed Hyperlink" xfId="293" builtinId="9" hidden="1"/>
    <cellStyle name="Followed Hyperlink" xfId="295" builtinId="9" hidden="1"/>
    <cellStyle name="Followed Hyperlink" xfId="297" builtinId="9" hidden="1"/>
    <cellStyle name="Followed Hyperlink" xfId="299" builtinId="9" hidden="1"/>
    <cellStyle name="Followed Hyperlink" xfId="301" builtinId="9" hidden="1"/>
    <cellStyle name="Followed Hyperlink" xfId="303" builtinId="9" hidden="1"/>
    <cellStyle name="Followed Hyperlink" xfId="305" builtinId="9" hidden="1"/>
    <cellStyle name="Followed Hyperlink" xfId="307" builtinId="9" hidden="1"/>
    <cellStyle name="Followed Hyperlink" xfId="309" builtinId="9" hidden="1"/>
    <cellStyle name="Followed Hyperlink" xfId="311" builtinId="9" hidden="1"/>
    <cellStyle name="Followed Hyperlink" xfId="313" builtinId="9" hidden="1"/>
    <cellStyle name="Followed Hyperlink" xfId="315" builtinId="9" hidden="1"/>
    <cellStyle name="Followed Hyperlink" xfId="317" builtinId="9" hidden="1"/>
    <cellStyle name="Followed Hyperlink" xfId="319" builtinId="9" hidden="1"/>
    <cellStyle name="Followed Hyperlink" xfId="321" builtinId="9" hidden="1"/>
    <cellStyle name="Followed Hyperlink" xfId="323" builtinId="9" hidden="1"/>
    <cellStyle name="Followed Hyperlink" xfId="325" builtinId="9" hidden="1"/>
    <cellStyle name="Followed Hyperlink" xfId="327" builtinId="9" hidden="1"/>
    <cellStyle name="Followed Hyperlink" xfId="329" builtinId="9" hidden="1"/>
    <cellStyle name="Followed Hyperlink" xfId="331" builtinId="9" hidden="1"/>
    <cellStyle name="Followed Hyperlink" xfId="333" builtinId="9" hidden="1"/>
    <cellStyle name="Followed Hyperlink" xfId="335" builtinId="9" hidden="1"/>
    <cellStyle name="Followed Hyperlink" xfId="337" builtinId="9" hidden="1"/>
    <cellStyle name="Followed Hyperlink" xfId="339" builtinId="9" hidden="1"/>
    <cellStyle name="Followed Hyperlink" xfId="341" builtinId="9" hidden="1"/>
    <cellStyle name="Followed Hyperlink" xfId="343" builtinId="9" hidden="1"/>
    <cellStyle name="Followed Hyperlink" xfId="345" builtinId="9" hidden="1"/>
    <cellStyle name="Followed Hyperlink" xfId="347" builtinId="9" hidden="1"/>
    <cellStyle name="Followed Hyperlink" xfId="349" builtinId="9" hidden="1"/>
    <cellStyle name="Followed Hyperlink" xfId="351" builtinId="9" hidden="1"/>
    <cellStyle name="Followed Hyperlink" xfId="353" builtinId="9" hidden="1"/>
    <cellStyle name="Followed Hyperlink" xfId="355" builtinId="9" hidden="1"/>
    <cellStyle name="Followed Hyperlink" xfId="357" builtinId="9" hidden="1"/>
    <cellStyle name="Followed Hyperlink" xfId="359" builtinId="9" hidden="1"/>
    <cellStyle name="Followed Hyperlink" xfId="361" builtinId="9" hidden="1"/>
    <cellStyle name="Followed Hyperlink" xfId="363" builtinId="9" hidden="1"/>
    <cellStyle name="Followed Hyperlink" xfId="365" builtinId="9" hidden="1"/>
    <cellStyle name="Followed Hyperlink" xfId="367" builtinId="9" hidden="1"/>
    <cellStyle name="Followed Hyperlink" xfId="369" builtinId="9" hidden="1"/>
    <cellStyle name="Followed Hyperlink" xfId="371" builtinId="9" hidden="1"/>
    <cellStyle name="Followed Hyperlink" xfId="373" builtinId="9" hidden="1"/>
    <cellStyle name="Followed Hyperlink" xfId="375" builtinId="9" hidden="1"/>
    <cellStyle name="Followed Hyperlink" xfId="377" builtinId="9" hidden="1"/>
    <cellStyle name="Followed Hyperlink" xfId="379" builtinId="9" hidden="1"/>
    <cellStyle name="Followed Hyperlink" xfId="381" builtinId="9" hidden="1"/>
    <cellStyle name="Followed Hyperlink" xfId="383" builtinId="9" hidden="1"/>
    <cellStyle name="Followed Hyperlink" xfId="385" builtinId="9" hidden="1"/>
    <cellStyle name="Followed Hyperlink" xfId="396" builtinId="9" hidden="1"/>
    <cellStyle name="Followed Hyperlink" xfId="398" builtinId="9" hidden="1"/>
    <cellStyle name="Followed Hyperlink" xfId="400" builtinId="9" hidden="1"/>
    <cellStyle name="Followed Hyperlink" xfId="402" builtinId="9" hidden="1"/>
    <cellStyle name="Followed Hyperlink" xfId="404" builtinId="9" hidden="1"/>
    <cellStyle name="Followed Hyperlink" xfId="406" builtinId="9" hidden="1"/>
    <cellStyle name="Followed Hyperlink" xfId="408" builtinId="9" hidden="1"/>
    <cellStyle name="Followed Hyperlink" xfId="410" builtinId="9" hidden="1"/>
    <cellStyle name="Followed Hyperlink" xfId="412" builtinId="9" hidden="1"/>
    <cellStyle name="Followed Hyperlink" xfId="414" builtinId="9" hidden="1"/>
    <cellStyle name="Followed Hyperlink" xfId="416" builtinId="9" hidden="1"/>
    <cellStyle name="Followed Hyperlink" xfId="418" builtinId="9" hidden="1"/>
    <cellStyle name="Followed Hyperlink" xfId="420" builtinId="9" hidden="1"/>
    <cellStyle name="Followed Hyperlink" xfId="422" builtinId="9" hidden="1"/>
    <cellStyle name="Followed Hyperlink" xfId="424" builtinId="9" hidden="1"/>
    <cellStyle name="Followed Hyperlink" xfId="426" builtinId="9" hidden="1"/>
    <cellStyle name="Followed Hyperlink" xfId="428" builtinId="9" hidden="1"/>
    <cellStyle name="Followed Hyperlink" xfId="430" builtinId="9" hidden="1"/>
    <cellStyle name="Followed Hyperlink" xfId="432" builtinId="9" hidden="1"/>
    <cellStyle name="Followed Hyperlink" xfId="434" builtinId="9" hidden="1"/>
    <cellStyle name="Followed Hyperlink" xfId="436" builtinId="9" hidden="1"/>
    <cellStyle name="Followed Hyperlink" xfId="438" builtinId="9" hidden="1"/>
    <cellStyle name="Followed Hyperlink" xfId="440" builtinId="9" hidden="1"/>
    <cellStyle name="Followed Hyperlink" xfId="442" builtinId="9" hidden="1"/>
    <cellStyle name="Followed Hyperlink" xfId="444" builtinId="9" hidden="1"/>
    <cellStyle name="Followed Hyperlink" xfId="446" builtinId="9" hidden="1"/>
    <cellStyle name="Followed Hyperlink" xfId="448" builtinId="9" hidden="1"/>
    <cellStyle name="Followed Hyperlink" xfId="450" builtinId="9" hidden="1"/>
    <cellStyle name="Followed Hyperlink" xfId="452" builtinId="9" hidden="1"/>
    <cellStyle name="Followed Hyperlink" xfId="454" builtinId="9" hidden="1"/>
    <cellStyle name="Followed Hyperlink" xfId="456" builtinId="9" hidden="1"/>
    <cellStyle name="Followed Hyperlink" xfId="458" builtinId="9" hidden="1"/>
    <cellStyle name="Followed Hyperlink" xfId="460" builtinId="9" hidden="1"/>
    <cellStyle name="Followed Hyperlink" xfId="462" builtinId="9" hidden="1"/>
    <cellStyle name="Followed Hyperlink" xfId="464" builtinId="9" hidden="1"/>
    <cellStyle name="Followed Hyperlink" xfId="466" builtinId="9" hidden="1"/>
    <cellStyle name="Followed Hyperlink" xfId="468" builtinId="9" hidden="1"/>
    <cellStyle name="Followed Hyperlink" xfId="470" builtinId="9" hidden="1"/>
    <cellStyle name="Followed Hyperlink" xfId="472" builtinId="9" hidden="1"/>
    <cellStyle name="Followed Hyperlink" xfId="474" builtinId="9" hidden="1"/>
    <cellStyle name="Followed Hyperlink" xfId="476" builtinId="9" hidden="1"/>
    <cellStyle name="Followed Hyperlink" xfId="478" builtinId="9" hidden="1"/>
    <cellStyle name="Followed Hyperlink" xfId="480" builtinId="9" hidden="1"/>
    <cellStyle name="Followed Hyperlink" xfId="482" builtinId="9" hidden="1"/>
    <cellStyle name="Followed Hyperlink" xfId="484" builtinId="9" hidden="1"/>
    <cellStyle name="Followed Hyperlink" xfId="486" builtinId="9" hidden="1"/>
    <cellStyle name="Followed Hyperlink" xfId="488" builtinId="9" hidden="1"/>
    <cellStyle name="Followed Hyperlink" xfId="490" builtinId="9" hidden="1"/>
    <cellStyle name="Followed Hyperlink" xfId="492" builtinId="9" hidden="1"/>
    <cellStyle name="Followed Hyperlink" xfId="494" builtinId="9" hidden="1"/>
    <cellStyle name="Followed Hyperlink" xfId="496" builtinId="9" hidden="1"/>
    <cellStyle name="Followed Hyperlink" xfId="498" builtinId="9" hidden="1"/>
    <cellStyle name="Followed Hyperlink" xfId="500" builtinId="9" hidden="1"/>
    <cellStyle name="Followed Hyperlink" xfId="502" builtinId="9" hidden="1"/>
    <cellStyle name="Followed Hyperlink" xfId="504" builtinId="9" hidden="1"/>
    <cellStyle name="Followed Hyperlink" xfId="506" builtinId="9" hidden="1"/>
    <cellStyle name="Followed Hyperlink" xfId="508" builtinId="9" hidden="1"/>
    <cellStyle name="Followed Hyperlink" xfId="510" builtinId="9" hidden="1"/>
    <cellStyle name="Followed Hyperlink" xfId="512" builtinId="9" hidden="1"/>
    <cellStyle name="Followed Hyperlink" xfId="514" builtinId="9" hidden="1"/>
    <cellStyle name="Followed Hyperlink" xfId="516" builtinId="9" hidden="1"/>
    <cellStyle name="Followed Hyperlink" xfId="518" builtinId="9" hidden="1"/>
    <cellStyle name="Followed Hyperlink" xfId="520" builtinId="9" hidden="1"/>
    <cellStyle name="Followed Hyperlink" xfId="522" builtinId="9" hidden="1"/>
    <cellStyle name="Followed Hyperlink" xfId="524" builtinId="9" hidden="1"/>
    <cellStyle name="Followed Hyperlink" xfId="526" builtinId="9" hidden="1"/>
    <cellStyle name="Followed Hyperlink" xfId="528" builtinId="9" hidden="1"/>
    <cellStyle name="Followed Hyperlink" xfId="530" builtinId="9" hidden="1"/>
    <cellStyle name="Followed Hyperlink" xfId="532" builtinId="9" hidden="1"/>
    <cellStyle name="Followed Hyperlink" xfId="534" builtinId="9" hidden="1"/>
    <cellStyle name="Followed Hyperlink" xfId="536" builtinId="9" hidden="1"/>
    <cellStyle name="Followed Hyperlink" xfId="538" builtinId="9" hidden="1"/>
    <cellStyle name="Followed Hyperlink" xfId="540" builtinId="9" hidden="1"/>
    <cellStyle name="Followed Hyperlink" xfId="542" builtinId="9" hidden="1"/>
    <cellStyle name="Followed Hyperlink" xfId="544" builtinId="9" hidden="1"/>
    <cellStyle name="Followed Hyperlink" xfId="546" builtinId="9" hidden="1"/>
    <cellStyle name="Followed Hyperlink" xfId="548" builtinId="9" hidden="1"/>
    <cellStyle name="Followed Hyperlink" xfId="550" builtinId="9" hidden="1"/>
    <cellStyle name="Followed Hyperlink" xfId="552" builtinId="9"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2" builtinId="8" hidden="1"/>
    <cellStyle name="Hyperlink" xfId="94" builtinId="8" hidden="1"/>
    <cellStyle name="Hyperlink" xfId="96" builtinId="8" hidden="1"/>
    <cellStyle name="Hyperlink" xfId="98" builtinId="8" hidden="1"/>
    <cellStyle name="Hyperlink" xfId="100" builtinId="8" hidden="1"/>
    <cellStyle name="Hyperlink" xfId="102" builtinId="8" hidden="1"/>
    <cellStyle name="Hyperlink" xfId="104" builtinId="8" hidden="1"/>
    <cellStyle name="Hyperlink" xfId="106" builtinId="8" hidden="1"/>
    <cellStyle name="Hyperlink" xfId="108" builtinId="8" hidden="1"/>
    <cellStyle name="Hyperlink" xfId="110" builtinId="8" hidden="1"/>
    <cellStyle name="Hyperlink" xfId="112" builtinId="8" hidden="1"/>
    <cellStyle name="Hyperlink" xfId="114" builtinId="8" hidden="1"/>
    <cellStyle name="Hyperlink" xfId="116" builtinId="8" hidden="1"/>
    <cellStyle name="Hyperlink" xfId="118" builtinId="8" hidden="1"/>
    <cellStyle name="Hyperlink" xfId="120" builtinId="8" hidden="1"/>
    <cellStyle name="Hyperlink" xfId="122" builtinId="8" hidden="1"/>
    <cellStyle name="Hyperlink" xfId="124" builtinId="8" hidden="1"/>
    <cellStyle name="Hyperlink" xfId="126" builtinId="8" hidden="1"/>
    <cellStyle name="Hyperlink" xfId="128" builtinId="8" hidden="1"/>
    <cellStyle name="Hyperlink" xfId="130" builtinId="8" hidden="1"/>
    <cellStyle name="Hyperlink" xfId="132" builtinId="8" hidden="1"/>
    <cellStyle name="Hyperlink" xfId="134" builtinId="8" hidden="1"/>
    <cellStyle name="Hyperlink" xfId="136" builtinId="8" hidden="1"/>
    <cellStyle name="Hyperlink" xfId="138" builtinId="8" hidden="1"/>
    <cellStyle name="Hyperlink" xfId="140" builtinId="8" hidden="1"/>
    <cellStyle name="Hyperlink" xfId="142" builtinId="8" hidden="1"/>
    <cellStyle name="Hyperlink" xfId="144" builtinId="8" hidden="1"/>
    <cellStyle name="Hyperlink" xfId="146" builtinId="8" hidden="1"/>
    <cellStyle name="Hyperlink" xfId="148" builtinId="8" hidden="1"/>
    <cellStyle name="Hyperlink" xfId="150" builtinId="8" hidden="1"/>
    <cellStyle name="Hyperlink" xfId="152" builtinId="8" hidden="1"/>
    <cellStyle name="Hyperlink" xfId="154" builtinId="8" hidden="1"/>
    <cellStyle name="Hyperlink" xfId="156" builtinId="8" hidden="1"/>
    <cellStyle name="Hyperlink" xfId="158" builtinId="8" hidden="1"/>
    <cellStyle name="Hyperlink" xfId="160" builtinId="8" hidden="1"/>
    <cellStyle name="Hyperlink" xfId="162" builtinId="8" hidden="1"/>
    <cellStyle name="Hyperlink" xfId="164" builtinId="8" hidden="1"/>
    <cellStyle name="Hyperlink" xfId="166" builtinId="8" hidden="1"/>
    <cellStyle name="Hyperlink" xfId="168" builtinId="8" hidden="1"/>
    <cellStyle name="Hyperlink" xfId="170" builtinId="8" hidden="1"/>
    <cellStyle name="Hyperlink" xfId="172" builtinId="8" hidden="1"/>
    <cellStyle name="Hyperlink" xfId="174" builtinId="8" hidden="1"/>
    <cellStyle name="Hyperlink" xfId="176" builtinId="8" hidden="1"/>
    <cellStyle name="Hyperlink" xfId="178" builtinId="8" hidden="1"/>
    <cellStyle name="Hyperlink" xfId="180" builtinId="8" hidden="1"/>
    <cellStyle name="Hyperlink" xfId="182" builtinId="8" hidden="1"/>
    <cellStyle name="Hyperlink" xfId="184" builtinId="8" hidden="1"/>
    <cellStyle name="Hyperlink" xfId="186" builtinId="8" hidden="1"/>
    <cellStyle name="Hyperlink" xfId="188" builtinId="8" hidden="1"/>
    <cellStyle name="Hyperlink" xfId="190" builtinId="8" hidden="1"/>
    <cellStyle name="Hyperlink" xfId="192" builtinId="8" hidden="1"/>
    <cellStyle name="Hyperlink" xfId="194" builtinId="8" hidden="1"/>
    <cellStyle name="Hyperlink" xfId="196" builtinId="8" hidden="1"/>
    <cellStyle name="Hyperlink" xfId="198" builtinId="8" hidden="1"/>
    <cellStyle name="Hyperlink" xfId="200" builtinId="8" hidden="1"/>
    <cellStyle name="Hyperlink" xfId="202" builtinId="8" hidden="1"/>
    <cellStyle name="Hyperlink" xfId="204" builtinId="8" hidden="1"/>
    <cellStyle name="Hyperlink" xfId="206" builtinId="8" hidden="1"/>
    <cellStyle name="Hyperlink" xfId="208" builtinId="8" hidden="1"/>
    <cellStyle name="Hyperlink" xfId="210" builtinId="8" hidden="1"/>
    <cellStyle name="Hyperlink" xfId="212" builtinId="8" hidden="1"/>
    <cellStyle name="Hyperlink" xfId="214" builtinId="8" hidden="1"/>
    <cellStyle name="Hyperlink" xfId="216" builtinId="8" hidden="1"/>
    <cellStyle name="Hyperlink" xfId="218" builtinId="8" hidden="1"/>
    <cellStyle name="Hyperlink" xfId="220" builtinId="8" hidden="1"/>
    <cellStyle name="Hyperlink" xfId="222" builtinId="8" hidden="1"/>
    <cellStyle name="Hyperlink" xfId="224" builtinId="8" hidden="1"/>
    <cellStyle name="Hyperlink" xfId="226" builtinId="8" hidden="1"/>
    <cellStyle name="Hyperlink" xfId="228" builtinId="8" hidden="1"/>
    <cellStyle name="Hyperlink" xfId="230" builtinId="8" hidden="1"/>
    <cellStyle name="Hyperlink" xfId="232" builtinId="8" hidden="1"/>
    <cellStyle name="Hyperlink" xfId="234" builtinId="8" hidden="1"/>
    <cellStyle name="Hyperlink" xfId="236" builtinId="8" hidden="1"/>
    <cellStyle name="Hyperlink" xfId="238" builtinId="8" hidden="1"/>
    <cellStyle name="Hyperlink" xfId="240" builtinId="8" hidden="1"/>
    <cellStyle name="Hyperlink" xfId="242" builtinId="8" hidden="1"/>
    <cellStyle name="Hyperlink" xfId="244" builtinId="8" hidden="1"/>
    <cellStyle name="Hyperlink" xfId="246" builtinId="8" hidden="1"/>
    <cellStyle name="Hyperlink" xfId="248" builtinId="8" hidden="1"/>
    <cellStyle name="Hyperlink" xfId="250" builtinId="8" hidden="1"/>
    <cellStyle name="Hyperlink" xfId="252" builtinId="8" hidden="1"/>
    <cellStyle name="Hyperlink" xfId="254" builtinId="8" hidden="1"/>
    <cellStyle name="Hyperlink" xfId="256" builtinId="8" hidden="1"/>
    <cellStyle name="Hyperlink" xfId="258" builtinId="8" hidden="1"/>
    <cellStyle name="Hyperlink" xfId="260" builtinId="8" hidden="1"/>
    <cellStyle name="Hyperlink" xfId="262" builtinId="8" hidden="1"/>
    <cellStyle name="Hyperlink" xfId="264" builtinId="8" hidden="1"/>
    <cellStyle name="Hyperlink" xfId="266" builtinId="8" hidden="1"/>
    <cellStyle name="Hyperlink" xfId="268" builtinId="8" hidden="1"/>
    <cellStyle name="Hyperlink" xfId="270" builtinId="8" hidden="1"/>
    <cellStyle name="Hyperlink" xfId="272" builtinId="8" hidden="1"/>
    <cellStyle name="Hyperlink" xfId="274" builtinId="8" hidden="1"/>
    <cellStyle name="Hyperlink" xfId="276" builtinId="8" hidden="1"/>
    <cellStyle name="Hyperlink" xfId="278" builtinId="8" hidden="1"/>
    <cellStyle name="Hyperlink" xfId="280" builtinId="8" hidden="1"/>
    <cellStyle name="Hyperlink" xfId="282" builtinId="8" hidden="1"/>
    <cellStyle name="Hyperlink" xfId="284" builtinId="8" hidden="1"/>
    <cellStyle name="Hyperlink" xfId="286" builtinId="8" hidden="1"/>
    <cellStyle name="Hyperlink" xfId="288" builtinId="8" hidden="1"/>
    <cellStyle name="Hyperlink" xfId="290" builtinId="8" hidden="1"/>
    <cellStyle name="Hyperlink" xfId="292" builtinId="8" hidden="1"/>
    <cellStyle name="Hyperlink" xfId="294" builtinId="8" hidden="1"/>
    <cellStyle name="Hyperlink" xfId="296" builtinId="8" hidden="1"/>
    <cellStyle name="Hyperlink" xfId="298" builtinId="8" hidden="1"/>
    <cellStyle name="Hyperlink" xfId="300" builtinId="8" hidden="1"/>
    <cellStyle name="Hyperlink" xfId="302" builtinId="8" hidden="1"/>
    <cellStyle name="Hyperlink" xfId="304" builtinId="8" hidden="1"/>
    <cellStyle name="Hyperlink" xfId="306" builtinId="8" hidden="1"/>
    <cellStyle name="Hyperlink" xfId="308" builtinId="8" hidden="1"/>
    <cellStyle name="Hyperlink" xfId="310" builtinId="8" hidden="1"/>
    <cellStyle name="Hyperlink" xfId="312" builtinId="8" hidden="1"/>
    <cellStyle name="Hyperlink" xfId="314" builtinId="8" hidden="1"/>
    <cellStyle name="Hyperlink" xfId="316" builtinId="8" hidden="1"/>
    <cellStyle name="Hyperlink" xfId="318" builtinId="8" hidden="1"/>
    <cellStyle name="Hyperlink" xfId="320" builtinId="8" hidden="1"/>
    <cellStyle name="Hyperlink" xfId="322" builtinId="8" hidden="1"/>
    <cellStyle name="Hyperlink" xfId="324" builtinId="8" hidden="1"/>
    <cellStyle name="Hyperlink" xfId="326" builtinId="8" hidden="1"/>
    <cellStyle name="Hyperlink" xfId="328" builtinId="8" hidden="1"/>
    <cellStyle name="Hyperlink" xfId="330" builtinId="8" hidden="1"/>
    <cellStyle name="Hyperlink" xfId="332" builtinId="8" hidden="1"/>
    <cellStyle name="Hyperlink" xfId="334" builtinId="8" hidden="1"/>
    <cellStyle name="Hyperlink" xfId="336" builtinId="8" hidden="1"/>
    <cellStyle name="Hyperlink" xfId="338" builtinId="8" hidden="1"/>
    <cellStyle name="Hyperlink" xfId="340" builtinId="8" hidden="1"/>
    <cellStyle name="Hyperlink" xfId="342" builtinId="8" hidden="1"/>
    <cellStyle name="Hyperlink" xfId="344" builtinId="8" hidden="1"/>
    <cellStyle name="Hyperlink" xfId="346" builtinId="8" hidden="1"/>
    <cellStyle name="Hyperlink" xfId="348" builtinId="8" hidden="1"/>
    <cellStyle name="Hyperlink" xfId="350" builtinId="8" hidden="1"/>
    <cellStyle name="Hyperlink" xfId="352" builtinId="8" hidden="1"/>
    <cellStyle name="Hyperlink" xfId="354" builtinId="8" hidden="1"/>
    <cellStyle name="Hyperlink" xfId="356" builtinId="8" hidden="1"/>
    <cellStyle name="Hyperlink" xfId="358" builtinId="8" hidden="1"/>
    <cellStyle name="Hyperlink" xfId="360" builtinId="8" hidden="1"/>
    <cellStyle name="Hyperlink" xfId="362" builtinId="8" hidden="1"/>
    <cellStyle name="Hyperlink" xfId="364" builtinId="8" hidden="1"/>
    <cellStyle name="Hyperlink" xfId="366" builtinId="8" hidden="1"/>
    <cellStyle name="Hyperlink" xfId="368" builtinId="8" hidden="1"/>
    <cellStyle name="Hyperlink" xfId="370" builtinId="8" hidden="1"/>
    <cellStyle name="Hyperlink" xfId="372" builtinId="8" hidden="1"/>
    <cellStyle name="Hyperlink" xfId="374" builtinId="8" hidden="1"/>
    <cellStyle name="Hyperlink" xfId="376" builtinId="8" hidden="1"/>
    <cellStyle name="Hyperlink" xfId="378" builtinId="8" hidden="1"/>
    <cellStyle name="Hyperlink" xfId="380" builtinId="8" hidden="1"/>
    <cellStyle name="Hyperlink" xfId="382" builtinId="8" hidden="1"/>
    <cellStyle name="Hyperlink" xfId="384" builtinId="8" hidden="1"/>
    <cellStyle name="Hyperlink" xfId="395" builtinId="8" hidden="1"/>
    <cellStyle name="Hyperlink" xfId="397" builtinId="8" hidden="1"/>
    <cellStyle name="Hyperlink" xfId="399" builtinId="8" hidden="1"/>
    <cellStyle name="Hyperlink" xfId="401" builtinId="8" hidden="1"/>
    <cellStyle name="Hyperlink" xfId="403" builtinId="8" hidden="1"/>
    <cellStyle name="Hyperlink" xfId="405" builtinId="8" hidden="1"/>
    <cellStyle name="Hyperlink" xfId="407" builtinId="8" hidden="1"/>
    <cellStyle name="Hyperlink" xfId="409" builtinId="8" hidden="1"/>
    <cellStyle name="Hyperlink" xfId="411" builtinId="8" hidden="1"/>
    <cellStyle name="Hyperlink" xfId="413" builtinId="8" hidden="1"/>
    <cellStyle name="Hyperlink" xfId="415" builtinId="8" hidden="1"/>
    <cellStyle name="Hyperlink" xfId="417" builtinId="8" hidden="1"/>
    <cellStyle name="Hyperlink" xfId="419" builtinId="8" hidden="1"/>
    <cellStyle name="Hyperlink" xfId="421" builtinId="8" hidden="1"/>
    <cellStyle name="Hyperlink" xfId="423" builtinId="8" hidden="1"/>
    <cellStyle name="Hyperlink" xfId="425" builtinId="8" hidden="1"/>
    <cellStyle name="Hyperlink" xfId="427" builtinId="8" hidden="1"/>
    <cellStyle name="Hyperlink" xfId="429" builtinId="8" hidden="1"/>
    <cellStyle name="Hyperlink" xfId="431" builtinId="8" hidden="1"/>
    <cellStyle name="Hyperlink" xfId="433" builtinId="8" hidden="1"/>
    <cellStyle name="Hyperlink" xfId="435" builtinId="8" hidden="1"/>
    <cellStyle name="Hyperlink" xfId="437" builtinId="8" hidden="1"/>
    <cellStyle name="Hyperlink" xfId="439" builtinId="8" hidden="1"/>
    <cellStyle name="Hyperlink" xfId="441" builtinId="8" hidden="1"/>
    <cellStyle name="Hyperlink" xfId="443" builtinId="8" hidden="1"/>
    <cellStyle name="Hyperlink" xfId="445" builtinId="8" hidden="1"/>
    <cellStyle name="Hyperlink" xfId="447" builtinId="8" hidden="1"/>
    <cellStyle name="Hyperlink" xfId="449" builtinId="8" hidden="1"/>
    <cellStyle name="Hyperlink" xfId="451" builtinId="8" hidden="1"/>
    <cellStyle name="Hyperlink" xfId="453" builtinId="8" hidden="1"/>
    <cellStyle name="Hyperlink" xfId="455" builtinId="8" hidden="1"/>
    <cellStyle name="Hyperlink" xfId="457" builtinId="8" hidden="1"/>
    <cellStyle name="Hyperlink" xfId="459" builtinId="8" hidden="1"/>
    <cellStyle name="Hyperlink" xfId="461" builtinId="8" hidden="1"/>
    <cellStyle name="Hyperlink" xfId="463" builtinId="8" hidden="1"/>
    <cellStyle name="Hyperlink" xfId="465" builtinId="8" hidden="1"/>
    <cellStyle name="Hyperlink" xfId="467" builtinId="8" hidden="1"/>
    <cellStyle name="Hyperlink" xfId="469" builtinId="8" hidden="1"/>
    <cellStyle name="Hyperlink" xfId="471" builtinId="8" hidden="1"/>
    <cellStyle name="Hyperlink" xfId="473" builtinId="8" hidden="1"/>
    <cellStyle name="Hyperlink" xfId="475" builtinId="8" hidden="1"/>
    <cellStyle name="Hyperlink" xfId="477" builtinId="8" hidden="1"/>
    <cellStyle name="Hyperlink" xfId="479" builtinId="8" hidden="1"/>
    <cellStyle name="Hyperlink" xfId="481" builtinId="8" hidden="1"/>
    <cellStyle name="Hyperlink" xfId="483" builtinId="8" hidden="1"/>
    <cellStyle name="Hyperlink" xfId="485" builtinId="8" hidden="1"/>
    <cellStyle name="Hyperlink" xfId="487" builtinId="8" hidden="1"/>
    <cellStyle name="Hyperlink" xfId="489" builtinId="8" hidden="1"/>
    <cellStyle name="Hyperlink" xfId="491" builtinId="8" hidden="1"/>
    <cellStyle name="Hyperlink" xfId="493" builtinId="8" hidden="1"/>
    <cellStyle name="Hyperlink" xfId="495" builtinId="8" hidden="1"/>
    <cellStyle name="Hyperlink" xfId="497" builtinId="8" hidden="1"/>
    <cellStyle name="Hyperlink" xfId="499" builtinId="8" hidden="1"/>
    <cellStyle name="Hyperlink" xfId="501" builtinId="8" hidden="1"/>
    <cellStyle name="Hyperlink" xfId="503" builtinId="8" hidden="1"/>
    <cellStyle name="Hyperlink" xfId="505" builtinId="8" hidden="1"/>
    <cellStyle name="Hyperlink" xfId="507" builtinId="8" hidden="1"/>
    <cellStyle name="Hyperlink" xfId="509" builtinId="8" hidden="1"/>
    <cellStyle name="Hyperlink" xfId="511" builtinId="8" hidden="1"/>
    <cellStyle name="Hyperlink" xfId="513" builtinId="8" hidden="1"/>
    <cellStyle name="Hyperlink" xfId="515" builtinId="8" hidden="1"/>
    <cellStyle name="Hyperlink" xfId="517" builtinId="8" hidden="1"/>
    <cellStyle name="Hyperlink" xfId="519" builtinId="8" hidden="1"/>
    <cellStyle name="Hyperlink" xfId="521" builtinId="8" hidden="1"/>
    <cellStyle name="Hyperlink" xfId="523" builtinId="8" hidden="1"/>
    <cellStyle name="Hyperlink" xfId="525" builtinId="8" hidden="1"/>
    <cellStyle name="Hyperlink" xfId="527" builtinId="8" hidden="1"/>
    <cellStyle name="Hyperlink" xfId="529" builtinId="8" hidden="1"/>
    <cellStyle name="Hyperlink" xfId="531" builtinId="8" hidden="1"/>
    <cellStyle name="Hyperlink" xfId="533" builtinId="8" hidden="1"/>
    <cellStyle name="Hyperlink" xfId="535" builtinId="8" hidden="1"/>
    <cellStyle name="Hyperlink" xfId="537" builtinId="8" hidden="1"/>
    <cellStyle name="Hyperlink" xfId="539" builtinId="8" hidden="1"/>
    <cellStyle name="Hyperlink" xfId="541" builtinId="8" hidden="1"/>
    <cellStyle name="Hyperlink" xfId="543" builtinId="8" hidden="1"/>
    <cellStyle name="Hyperlink" xfId="545" builtinId="8" hidden="1"/>
    <cellStyle name="Hyperlink" xfId="547" builtinId="8" hidden="1"/>
    <cellStyle name="Hyperlink" xfId="549" builtinId="8" hidden="1"/>
    <cellStyle name="Hyperlink" xfId="551" builtinId="8" hidden="1"/>
    <cellStyle name="Normal" xfId="0" builtinId="0"/>
    <cellStyle name="Normal 2" xfId="386"/>
    <cellStyle name="Normal 3" xfId="389"/>
    <cellStyle name="Normal 6" xfId="390"/>
    <cellStyle name="Percent" xfId="3" builtinId="5"/>
    <cellStyle name="Percent 2" xfId="391"/>
    <cellStyle name="Percent 3" xfId="394"/>
  </cellStyles>
  <dxfs count="61">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9" defaultPivotStyle="PivotStyleMedium4"/>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20" Type="http://schemas.openxmlformats.org/officeDocument/2006/relationships/sharedStrings" Target="sharedStrings.xml"/><Relationship Id="rId21" Type="http://schemas.openxmlformats.org/officeDocument/2006/relationships/calcChain" Target="calcChain.xml"/><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worksheet" Target="worksheets/sheet16.xml"/><Relationship Id="rId17" Type="http://schemas.openxmlformats.org/officeDocument/2006/relationships/externalLink" Target="externalLinks/externalLink1.xml"/><Relationship Id="rId18" Type="http://schemas.openxmlformats.org/officeDocument/2006/relationships/theme" Target="theme/theme1.xml"/><Relationship Id="rId19" Type="http://schemas.openxmlformats.org/officeDocument/2006/relationships/styles" Target="styles.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Transfers</a:t>
            </a:r>
            <a:r>
              <a:rPr lang="en-US" baseline="0"/>
              <a:t> and revenues </a:t>
            </a:r>
            <a:r>
              <a:rPr lang="en-US"/>
              <a:t>to date</a:t>
            </a:r>
          </a:p>
        </c:rich>
      </c:tx>
      <c:overlay val="0"/>
      <c:spPr>
        <a:noFill/>
        <a:ln>
          <a:noFill/>
        </a:ln>
        <a:effectLst/>
      </c:spPr>
    </c:title>
    <c:autoTitleDeleted val="0"/>
    <c:plotArea>
      <c:layout/>
      <c:lineChart>
        <c:grouping val="standard"/>
        <c:varyColors val="0"/>
        <c:ser>
          <c:idx val="2"/>
          <c:order val="0"/>
          <c:tx>
            <c:v>Revenue</c:v>
          </c:tx>
          <c:spPr>
            <a:ln w="28575" cap="rnd">
              <a:solidFill>
                <a:schemeClr val="accent3"/>
              </a:solidFill>
              <a:round/>
            </a:ln>
            <a:effectLst/>
          </c:spPr>
          <c:marker>
            <c:symbol val="none"/>
          </c:marker>
          <c:cat>
            <c:strRef>
              <c:f>'2015-Rate of money moved'!$B$3:$AI$3</c:f>
              <c:strCache>
                <c:ptCount val="34"/>
                <c:pt idx="0">
                  <c:v>Pre FY13</c:v>
                </c:pt>
                <c:pt idx="1">
                  <c:v>Oct 12</c:v>
                </c:pt>
                <c:pt idx="2">
                  <c:v>Nov 12</c:v>
                </c:pt>
                <c:pt idx="3">
                  <c:v>Dec 12</c:v>
                </c:pt>
                <c:pt idx="4">
                  <c:v>Jan 13</c:v>
                </c:pt>
                <c:pt idx="5">
                  <c:v>Feb 13</c:v>
                </c:pt>
                <c:pt idx="6">
                  <c:v>Mar 13</c:v>
                </c:pt>
                <c:pt idx="7">
                  <c:v>Apr 13</c:v>
                </c:pt>
                <c:pt idx="8">
                  <c:v>May 13</c:v>
                </c:pt>
                <c:pt idx="9">
                  <c:v>Jun 13</c:v>
                </c:pt>
                <c:pt idx="10">
                  <c:v>Jul 13</c:v>
                </c:pt>
                <c:pt idx="11">
                  <c:v>Aug 13</c:v>
                </c:pt>
                <c:pt idx="12">
                  <c:v>Sep 13</c:v>
                </c:pt>
                <c:pt idx="13">
                  <c:v>Oct 13</c:v>
                </c:pt>
                <c:pt idx="14">
                  <c:v>Nov 13</c:v>
                </c:pt>
                <c:pt idx="15">
                  <c:v>Dec 13</c:v>
                </c:pt>
                <c:pt idx="16">
                  <c:v>Jan 14</c:v>
                </c:pt>
                <c:pt idx="17">
                  <c:v>Feb 14</c:v>
                </c:pt>
                <c:pt idx="18">
                  <c:v>Mar 14</c:v>
                </c:pt>
                <c:pt idx="19">
                  <c:v>Apr 14</c:v>
                </c:pt>
                <c:pt idx="20">
                  <c:v>May 14</c:v>
                </c:pt>
                <c:pt idx="21">
                  <c:v>Jun 14</c:v>
                </c:pt>
                <c:pt idx="22">
                  <c:v>Jul 14</c:v>
                </c:pt>
                <c:pt idx="23">
                  <c:v>Aug 14</c:v>
                </c:pt>
                <c:pt idx="24">
                  <c:v>Sep 14</c:v>
                </c:pt>
                <c:pt idx="25">
                  <c:v>Oct 14</c:v>
                </c:pt>
                <c:pt idx="26">
                  <c:v>Nov 14</c:v>
                </c:pt>
                <c:pt idx="27">
                  <c:v>Dec 14</c:v>
                </c:pt>
                <c:pt idx="28">
                  <c:v>Jan 15</c:v>
                </c:pt>
                <c:pt idx="29">
                  <c:v>Feb 15</c:v>
                </c:pt>
                <c:pt idx="30">
                  <c:v>Mar 15</c:v>
                </c:pt>
                <c:pt idx="31">
                  <c:v>Apr 15</c:v>
                </c:pt>
                <c:pt idx="32">
                  <c:v>May 15</c:v>
                </c:pt>
                <c:pt idx="33">
                  <c:v>Jun 15</c:v>
                </c:pt>
              </c:strCache>
            </c:strRef>
          </c:cat>
          <c:val>
            <c:numRef>
              <c:f>'2015-Rate of money moved'!$B$20:$AI$20</c:f>
              <c:numCache>
                <c:formatCode>"$"#,##0.00</c:formatCode>
                <c:ptCount val="34"/>
                <c:pt idx="0">
                  <c:v>604700.0</c:v>
                </c:pt>
                <c:pt idx="1">
                  <c:v>604700.0</c:v>
                </c:pt>
                <c:pt idx="2">
                  <c:v>604700.0</c:v>
                </c:pt>
                <c:pt idx="3">
                  <c:v>3.010889E6</c:v>
                </c:pt>
                <c:pt idx="4">
                  <c:v>3.010889E6</c:v>
                </c:pt>
                <c:pt idx="5">
                  <c:v>3.010889E6</c:v>
                </c:pt>
                <c:pt idx="6">
                  <c:v>4.310889E6</c:v>
                </c:pt>
                <c:pt idx="7">
                  <c:v>4.310889E6</c:v>
                </c:pt>
                <c:pt idx="8">
                  <c:v>4.310889E6</c:v>
                </c:pt>
                <c:pt idx="9">
                  <c:v>5.410889E6</c:v>
                </c:pt>
                <c:pt idx="10">
                  <c:v>5.410889E6</c:v>
                </c:pt>
                <c:pt idx="11">
                  <c:v>5.410889E6</c:v>
                </c:pt>
                <c:pt idx="12">
                  <c:v>6.010889E6</c:v>
                </c:pt>
                <c:pt idx="13">
                  <c:v>6.010889E6</c:v>
                </c:pt>
                <c:pt idx="14">
                  <c:v>6.010889E6</c:v>
                </c:pt>
                <c:pt idx="15">
                  <c:v>1.8510889E7</c:v>
                </c:pt>
                <c:pt idx="16">
                  <c:v>1.8510889E7</c:v>
                </c:pt>
                <c:pt idx="17">
                  <c:v>1.8510889E7</c:v>
                </c:pt>
                <c:pt idx="18">
                  <c:v>2.0410889E7</c:v>
                </c:pt>
                <c:pt idx="19">
                  <c:v>2.0410889E7</c:v>
                </c:pt>
                <c:pt idx="20">
                  <c:v>2.0410889E7</c:v>
                </c:pt>
                <c:pt idx="21">
                  <c:v>2.1810889E7</c:v>
                </c:pt>
                <c:pt idx="22">
                  <c:v>2.1810889E7</c:v>
                </c:pt>
                <c:pt idx="23">
                  <c:v>2.5410889E7</c:v>
                </c:pt>
                <c:pt idx="24">
                  <c:v>2.5410889E7</c:v>
                </c:pt>
                <c:pt idx="25">
                  <c:v>2.5410889E7</c:v>
                </c:pt>
                <c:pt idx="26">
                  <c:v>2.5410889E7</c:v>
                </c:pt>
                <c:pt idx="27">
                  <c:v>3.9010889E7</c:v>
                </c:pt>
              </c:numCache>
            </c:numRef>
          </c:val>
          <c:smooth val="0"/>
        </c:ser>
        <c:ser>
          <c:idx val="0"/>
          <c:order val="1"/>
          <c:tx>
            <c:v>Distributed transfers+costs</c:v>
          </c:tx>
          <c:spPr>
            <a:ln w="28575" cap="rnd">
              <a:solidFill>
                <a:schemeClr val="accent1"/>
              </a:solidFill>
              <a:round/>
            </a:ln>
            <a:effectLst/>
          </c:spPr>
          <c:marker>
            <c:symbol val="none"/>
          </c:marker>
          <c:val>
            <c:numRef>
              <c:f>'2015-Rate of money moved'!$B$16:$AI$16</c:f>
              <c:numCache>
                <c:formatCode>"$"#,##0.00</c:formatCode>
                <c:ptCount val="34"/>
                <c:pt idx="0">
                  <c:v>404194.0</c:v>
                </c:pt>
                <c:pt idx="1">
                  <c:v>523310.6096716888</c:v>
                </c:pt>
                <c:pt idx="2">
                  <c:v>642427.2193433775</c:v>
                </c:pt>
                <c:pt idx="3">
                  <c:v>761543.8290150661</c:v>
                </c:pt>
                <c:pt idx="4">
                  <c:v>880660.438686755</c:v>
                </c:pt>
                <c:pt idx="5">
                  <c:v>999777.0483584436</c:v>
                </c:pt>
                <c:pt idx="6">
                  <c:v>1.11889365803013E6</c:v>
                </c:pt>
                <c:pt idx="7">
                  <c:v>1.23801026770182E6</c:v>
                </c:pt>
                <c:pt idx="8">
                  <c:v>1.35712687737351E6</c:v>
                </c:pt>
                <c:pt idx="9">
                  <c:v>1.4762434870452E6</c:v>
                </c:pt>
                <c:pt idx="10">
                  <c:v>1.59536009671689E6</c:v>
                </c:pt>
                <c:pt idx="11">
                  <c:v>1.71447670638858E6</c:v>
                </c:pt>
                <c:pt idx="12">
                  <c:v>2.12433250204967E6</c:v>
                </c:pt>
                <c:pt idx="13">
                  <c:v>2.45342222771076E6</c:v>
                </c:pt>
                <c:pt idx="14">
                  <c:v>2.66593898337185E6</c:v>
                </c:pt>
                <c:pt idx="15">
                  <c:v>3.71002924903294E6</c:v>
                </c:pt>
                <c:pt idx="16">
                  <c:v>4.1136898613607E6</c:v>
                </c:pt>
                <c:pt idx="17">
                  <c:v>4.47639798368846E6</c:v>
                </c:pt>
                <c:pt idx="18">
                  <c:v>5.32980343601622E6</c:v>
                </c:pt>
                <c:pt idx="19">
                  <c:v>5.70361706834397E6</c:v>
                </c:pt>
                <c:pt idx="20">
                  <c:v>6.12703552067173E6</c:v>
                </c:pt>
                <c:pt idx="21">
                  <c:v>7.35181599299949E6</c:v>
                </c:pt>
                <c:pt idx="22">
                  <c:v>8.21590046532725E6</c:v>
                </c:pt>
                <c:pt idx="23">
                  <c:v>8.88771633765501E6</c:v>
                </c:pt>
                <c:pt idx="24">
                  <c:v>1.00738463999828E7</c:v>
                </c:pt>
                <c:pt idx="25">
                  <c:v>1.08658669823105E7</c:v>
                </c:pt>
                <c:pt idx="26">
                  <c:v>1.18788898590703E7</c:v>
                </c:pt>
                <c:pt idx="27">
                  <c:v>1.292291021583E7</c:v>
                </c:pt>
                <c:pt idx="28">
                  <c:v>1.43337129692565E7</c:v>
                </c:pt>
                <c:pt idx="29">
                  <c:v>1.58000169726829E7</c:v>
                </c:pt>
                <c:pt idx="30">
                  <c:v>1.70514236161093E7</c:v>
                </c:pt>
                <c:pt idx="31">
                  <c:v>1.82898181962024E7</c:v>
                </c:pt>
                <c:pt idx="32">
                  <c:v>1.97039423162955E7</c:v>
                </c:pt>
                <c:pt idx="33">
                  <c:v>2.10139667963886E7</c:v>
                </c:pt>
              </c:numCache>
            </c:numRef>
          </c:val>
          <c:smooth val="0"/>
        </c:ser>
        <c:dLbls>
          <c:showLegendKey val="0"/>
          <c:showVal val="0"/>
          <c:showCatName val="0"/>
          <c:showSerName val="0"/>
          <c:showPercent val="0"/>
          <c:showBubbleSize val="0"/>
        </c:dLbls>
        <c:marker val="1"/>
        <c:smooth val="0"/>
        <c:axId val="2105082328"/>
        <c:axId val="2099184728"/>
      </c:lineChart>
      <c:catAx>
        <c:axId val="21050823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99184728"/>
        <c:crosses val="autoZero"/>
        <c:auto val="1"/>
        <c:lblAlgn val="ctr"/>
        <c:lblOffset val="100"/>
        <c:noMultiLvlLbl val="0"/>
      </c:catAx>
      <c:valAx>
        <c:axId val="2099184728"/>
        <c:scaling>
          <c:orientation val="minMax"/>
        </c:scaling>
        <c:delete val="0"/>
        <c:axPos val="l"/>
        <c:numFmt formatCode="&quot;$&quot;#,##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0508232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sz="1400"/>
              <a:t>Committed and distributed transfers to date</a:t>
            </a:r>
          </a:p>
        </c:rich>
      </c:tx>
      <c:overlay val="1"/>
    </c:title>
    <c:autoTitleDeleted val="0"/>
    <c:plotArea>
      <c:layout>
        <c:manualLayout>
          <c:layoutTarget val="inner"/>
          <c:xMode val="edge"/>
          <c:yMode val="edge"/>
          <c:x val="0.147848256886105"/>
          <c:y val="0.0429042904290429"/>
          <c:w val="0.825061177297076"/>
          <c:h val="0.819340713598919"/>
        </c:manualLayout>
      </c:layout>
      <c:lineChart>
        <c:grouping val="standard"/>
        <c:varyColors val="0"/>
        <c:ser>
          <c:idx val="0"/>
          <c:order val="0"/>
          <c:tx>
            <c:v>Distributed transfers to date - lagged 4 months</c:v>
          </c:tx>
          <c:marker>
            <c:symbol val="none"/>
          </c:marker>
          <c:cat>
            <c:strRef>
              <c:f>'2015-Rate of money moved'!$H$3:$AI$3</c:f>
              <c:strCache>
                <c:ptCount val="28"/>
                <c:pt idx="0">
                  <c:v>Mar 13</c:v>
                </c:pt>
                <c:pt idx="1">
                  <c:v>Apr 13</c:v>
                </c:pt>
                <c:pt idx="2">
                  <c:v>May 13</c:v>
                </c:pt>
                <c:pt idx="3">
                  <c:v>Jun 13</c:v>
                </c:pt>
                <c:pt idx="4">
                  <c:v>Jul 13</c:v>
                </c:pt>
                <c:pt idx="5">
                  <c:v>Aug 13</c:v>
                </c:pt>
                <c:pt idx="6">
                  <c:v>Sep 13</c:v>
                </c:pt>
                <c:pt idx="7">
                  <c:v>Oct 13</c:v>
                </c:pt>
                <c:pt idx="8">
                  <c:v>Nov 13</c:v>
                </c:pt>
                <c:pt idx="9">
                  <c:v>Dec 13</c:v>
                </c:pt>
                <c:pt idx="10">
                  <c:v>Jan 14</c:v>
                </c:pt>
                <c:pt idx="11">
                  <c:v>Feb 14</c:v>
                </c:pt>
                <c:pt idx="12">
                  <c:v>Mar 14</c:v>
                </c:pt>
                <c:pt idx="13">
                  <c:v>Apr 14</c:v>
                </c:pt>
                <c:pt idx="14">
                  <c:v>May 14</c:v>
                </c:pt>
                <c:pt idx="15">
                  <c:v>Jun 14</c:v>
                </c:pt>
                <c:pt idx="16">
                  <c:v>Jul 14</c:v>
                </c:pt>
                <c:pt idx="17">
                  <c:v>Aug 14</c:v>
                </c:pt>
                <c:pt idx="18">
                  <c:v>Sep 14</c:v>
                </c:pt>
                <c:pt idx="19">
                  <c:v>Oct 14</c:v>
                </c:pt>
                <c:pt idx="20">
                  <c:v>Nov 14</c:v>
                </c:pt>
                <c:pt idx="21">
                  <c:v>Dec 14</c:v>
                </c:pt>
                <c:pt idx="22">
                  <c:v>Jan 15</c:v>
                </c:pt>
                <c:pt idx="23">
                  <c:v>Feb 15</c:v>
                </c:pt>
                <c:pt idx="24">
                  <c:v>Mar 15</c:v>
                </c:pt>
                <c:pt idx="25">
                  <c:v>Apr 15</c:v>
                </c:pt>
                <c:pt idx="26">
                  <c:v>May 15</c:v>
                </c:pt>
                <c:pt idx="27">
                  <c:v>Jun 15</c:v>
                </c:pt>
              </c:strCache>
            </c:strRef>
          </c:cat>
          <c:val>
            <c:numRef>
              <c:f>'2015-Rate of money moved'!$L$7:$AI$7</c:f>
              <c:numCache>
                <c:formatCode>"$"#,##0.00</c:formatCode>
                <c:ptCount val="24"/>
                <c:pt idx="0">
                  <c:v>1.21820877657517E6</c:v>
                </c:pt>
                <c:pt idx="1">
                  <c:v>1.30663025423268E6</c:v>
                </c:pt>
                <c:pt idx="2">
                  <c:v>1.63669473423268E6</c:v>
                </c:pt>
                <c:pt idx="3">
                  <c:v>1.88599314423268E6</c:v>
                </c:pt>
                <c:pt idx="4">
                  <c:v>2.01871858423268E6</c:v>
                </c:pt>
                <c:pt idx="5">
                  <c:v>2.98301753423268E6</c:v>
                </c:pt>
                <c:pt idx="6">
                  <c:v>3.14022016423268E6</c:v>
                </c:pt>
                <c:pt idx="7">
                  <c:v>3.25647030423268E6</c:v>
                </c:pt>
                <c:pt idx="8">
                  <c:v>3.86341777423268E6</c:v>
                </c:pt>
                <c:pt idx="9">
                  <c:v>3.99077342423268E6</c:v>
                </c:pt>
                <c:pt idx="10">
                  <c:v>4.16773389423268E6</c:v>
                </c:pt>
                <c:pt idx="11">
                  <c:v>5.14605638423268E6</c:v>
                </c:pt>
                <c:pt idx="12">
                  <c:v>5.76368287423268E6</c:v>
                </c:pt>
                <c:pt idx="13">
                  <c:v>6.18904076423268E6</c:v>
                </c:pt>
                <c:pt idx="14">
                  <c:v>7.12871284423268E6</c:v>
                </c:pt>
                <c:pt idx="15">
                  <c:v>7.67427544423268E6</c:v>
                </c:pt>
                <c:pt idx="16">
                  <c:v>8.21956537423268E6</c:v>
                </c:pt>
                <c:pt idx="17">
                  <c:v>8.79585278423268E6</c:v>
                </c:pt>
                <c:pt idx="18">
                  <c:v>9.77225592423268E6</c:v>
                </c:pt>
                <c:pt idx="19">
                  <c:v>1.08041603142327E7</c:v>
                </c:pt>
                <c:pt idx="20">
                  <c:v>1.16211673442327E7</c:v>
                </c:pt>
                <c:pt idx="21">
                  <c:v>1.25584956442327E7</c:v>
                </c:pt>
                <c:pt idx="22">
                  <c:v>1.36715534842327E7</c:v>
                </c:pt>
                <c:pt idx="23">
                  <c:v>1.46805116842327E7</c:v>
                </c:pt>
              </c:numCache>
            </c:numRef>
          </c:val>
          <c:smooth val="0"/>
        </c:ser>
        <c:ser>
          <c:idx val="1"/>
          <c:order val="1"/>
          <c:tx>
            <c:v>Committed transfers to date</c:v>
          </c:tx>
          <c:marker>
            <c:symbol val="none"/>
          </c:marker>
          <c:cat>
            <c:strRef>
              <c:f>'2015-Rate of money moved'!$H$3:$AI$3</c:f>
              <c:strCache>
                <c:ptCount val="28"/>
                <c:pt idx="0">
                  <c:v>Mar 13</c:v>
                </c:pt>
                <c:pt idx="1">
                  <c:v>Apr 13</c:v>
                </c:pt>
                <c:pt idx="2">
                  <c:v>May 13</c:v>
                </c:pt>
                <c:pt idx="3">
                  <c:v>Jun 13</c:v>
                </c:pt>
                <c:pt idx="4">
                  <c:v>Jul 13</c:v>
                </c:pt>
                <c:pt idx="5">
                  <c:v>Aug 13</c:v>
                </c:pt>
                <c:pt idx="6">
                  <c:v>Sep 13</c:v>
                </c:pt>
                <c:pt idx="7">
                  <c:v>Oct 13</c:v>
                </c:pt>
                <c:pt idx="8">
                  <c:v>Nov 13</c:v>
                </c:pt>
                <c:pt idx="9">
                  <c:v>Dec 13</c:v>
                </c:pt>
                <c:pt idx="10">
                  <c:v>Jan 14</c:v>
                </c:pt>
                <c:pt idx="11">
                  <c:v>Feb 14</c:v>
                </c:pt>
                <c:pt idx="12">
                  <c:v>Mar 14</c:v>
                </c:pt>
                <c:pt idx="13">
                  <c:v>Apr 14</c:v>
                </c:pt>
                <c:pt idx="14">
                  <c:v>May 14</c:v>
                </c:pt>
                <c:pt idx="15">
                  <c:v>Jun 14</c:v>
                </c:pt>
                <c:pt idx="16">
                  <c:v>Jul 14</c:v>
                </c:pt>
                <c:pt idx="17">
                  <c:v>Aug 14</c:v>
                </c:pt>
                <c:pt idx="18">
                  <c:v>Sep 14</c:v>
                </c:pt>
                <c:pt idx="19">
                  <c:v>Oct 14</c:v>
                </c:pt>
                <c:pt idx="20">
                  <c:v>Nov 14</c:v>
                </c:pt>
                <c:pt idx="21">
                  <c:v>Dec 14</c:v>
                </c:pt>
                <c:pt idx="22">
                  <c:v>Jan 15</c:v>
                </c:pt>
                <c:pt idx="23">
                  <c:v>Feb 15</c:v>
                </c:pt>
                <c:pt idx="24">
                  <c:v>Mar 15</c:v>
                </c:pt>
                <c:pt idx="25">
                  <c:v>Apr 15</c:v>
                </c:pt>
                <c:pt idx="26">
                  <c:v>May 15</c:v>
                </c:pt>
                <c:pt idx="27">
                  <c:v>Jun 15</c:v>
                </c:pt>
              </c:strCache>
            </c:strRef>
          </c:cat>
          <c:val>
            <c:numRef>
              <c:f>'2015-Rate of money moved'!$H$8:$AI$8</c:f>
              <c:numCache>
                <c:formatCode>"$"#,##0.00</c:formatCode>
                <c:ptCount val="28"/>
                <c:pt idx="0">
                  <c:v>864523.0</c:v>
                </c:pt>
                <c:pt idx="1">
                  <c:v>952944.5</c:v>
                </c:pt>
                <c:pt idx="2">
                  <c:v>1.041366E6</c:v>
                </c:pt>
                <c:pt idx="3">
                  <c:v>1.1297875E6</c:v>
                </c:pt>
                <c:pt idx="4">
                  <c:v>1.218209E6</c:v>
                </c:pt>
                <c:pt idx="5">
                  <c:v>1.3066305E6</c:v>
                </c:pt>
                <c:pt idx="6">
                  <c:v>1.29470814E6</c:v>
                </c:pt>
                <c:pt idx="7">
                  <c:v>3.37166526E6</c:v>
                </c:pt>
                <c:pt idx="8">
                  <c:v>3.37698384E6</c:v>
                </c:pt>
                <c:pt idx="9">
                  <c:v>3.37698384E6</c:v>
                </c:pt>
                <c:pt idx="10">
                  <c:v>4.53477184E6</c:v>
                </c:pt>
                <c:pt idx="11">
                  <c:v>4.53477184E6</c:v>
                </c:pt>
                <c:pt idx="12">
                  <c:v>4.53477184E6</c:v>
                </c:pt>
                <c:pt idx="13">
                  <c:v>4.5988561E6</c:v>
                </c:pt>
                <c:pt idx="14">
                  <c:v>5.5559431E6</c:v>
                </c:pt>
                <c:pt idx="15">
                  <c:v>6.41181493E6</c:v>
                </c:pt>
                <c:pt idx="16">
                  <c:v>7.35997573E6</c:v>
                </c:pt>
                <c:pt idx="17">
                  <c:v>8.03867461E6</c:v>
                </c:pt>
                <c:pt idx="18">
                  <c:v>1.080695645E7</c:v>
                </c:pt>
                <c:pt idx="19">
                  <c:v>1.080695645E7</c:v>
                </c:pt>
                <c:pt idx="20">
                  <c:v>1.260760641E7</c:v>
                </c:pt>
                <c:pt idx="21">
                  <c:v>1.352283631E7</c:v>
                </c:pt>
                <c:pt idx="22">
                  <c:v>1.392357699E7</c:v>
                </c:pt>
                <c:pt idx="23">
                  <c:v>1.481322617E7</c:v>
                </c:pt>
                <c:pt idx="24">
                  <c:v>1.591609338E7</c:v>
                </c:pt>
                <c:pt idx="25">
                  <c:v>1.693790799E7</c:v>
                </c:pt>
                <c:pt idx="26">
                  <c:v>1.78571163E7</c:v>
                </c:pt>
                <c:pt idx="27">
                  <c:v>2.016958865E7</c:v>
                </c:pt>
              </c:numCache>
            </c:numRef>
          </c:val>
          <c:smooth val="0"/>
        </c:ser>
        <c:dLbls>
          <c:showLegendKey val="0"/>
          <c:showVal val="0"/>
          <c:showCatName val="0"/>
          <c:showSerName val="0"/>
          <c:showPercent val="0"/>
          <c:showBubbleSize val="0"/>
        </c:dLbls>
        <c:marker val="1"/>
        <c:smooth val="0"/>
        <c:axId val="2110525448"/>
        <c:axId val="2110485720"/>
      </c:lineChart>
      <c:catAx>
        <c:axId val="2110525448"/>
        <c:scaling>
          <c:orientation val="minMax"/>
        </c:scaling>
        <c:delete val="0"/>
        <c:axPos val="b"/>
        <c:majorTickMark val="out"/>
        <c:minorTickMark val="none"/>
        <c:tickLblPos val="nextTo"/>
        <c:crossAx val="2110485720"/>
        <c:crosses val="autoZero"/>
        <c:auto val="1"/>
        <c:lblAlgn val="ctr"/>
        <c:lblOffset val="100"/>
        <c:noMultiLvlLbl val="0"/>
      </c:catAx>
      <c:valAx>
        <c:axId val="2110485720"/>
        <c:scaling>
          <c:orientation val="minMax"/>
        </c:scaling>
        <c:delete val="0"/>
        <c:axPos val="l"/>
        <c:numFmt formatCode="&quot;$&quot;#,##0.00" sourceLinked="1"/>
        <c:majorTickMark val="out"/>
        <c:minorTickMark val="none"/>
        <c:tickLblPos val="nextTo"/>
        <c:crossAx val="2110525448"/>
        <c:crosses val="autoZero"/>
        <c:crossBetween val="between"/>
      </c:valAx>
    </c:plotArea>
    <c:legend>
      <c:legendPos val="r"/>
      <c:layout>
        <c:manualLayout>
          <c:xMode val="edge"/>
          <c:yMode val="edge"/>
          <c:x val="0.195973275180751"/>
          <c:y val="0.0970860944362152"/>
          <c:w val="0.640457951585048"/>
          <c:h val="0.0995571840648631"/>
        </c:manualLayout>
      </c:layout>
      <c:overlay val="0"/>
    </c:legend>
    <c:plotVisOnly val="1"/>
    <c:dispBlanksAs val="gap"/>
    <c:showDLblsOverMax val="0"/>
  </c:chart>
  <c:printSettings>
    <c:headerFooter/>
    <c:pageMargins b="1.0" l="0.75" r="0.75" t="1.0"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barChart>
        <c:barDir val="col"/>
        <c:grouping val="stacked"/>
        <c:varyColors val="0"/>
        <c:ser>
          <c:idx val="0"/>
          <c:order val="0"/>
          <c:tx>
            <c:strRef>
              <c:f>'2014 -Revenue and transfers'!$B$4</c:f>
              <c:strCache>
                <c:ptCount val="1"/>
                <c:pt idx="0">
                  <c:v>Revenue</c:v>
                </c:pt>
              </c:strCache>
            </c:strRef>
          </c:tx>
          <c:invertIfNegative val="0"/>
          <c:cat>
            <c:strRef>
              <c:f>'2014 -Revenue and transfers'!$A$5:$A$12</c:f>
              <c:strCache>
                <c:ptCount val="8"/>
                <c:pt idx="0">
                  <c:v>Pre-FY 2013 revenue</c:v>
                </c:pt>
                <c:pt idx="1">
                  <c:v>Pre-FY 2013 costs</c:v>
                </c:pt>
                <c:pt idx="2">
                  <c:v>FY 2013 revenue</c:v>
                </c:pt>
                <c:pt idx="3">
                  <c:v>FY 2013 costs</c:v>
                </c:pt>
                <c:pt idx="4">
                  <c:v>FY 2014 revenue</c:v>
                </c:pt>
                <c:pt idx="5">
                  <c:v>FY 2014+ costs</c:v>
                </c:pt>
                <c:pt idx="6">
                  <c:v>Total revenue</c:v>
                </c:pt>
                <c:pt idx="7">
                  <c:v>Total costs</c:v>
                </c:pt>
              </c:strCache>
            </c:strRef>
          </c:cat>
          <c:val>
            <c:numRef>
              <c:f>'2014 -Revenue and transfers'!$B$5:$B$12</c:f>
              <c:numCache>
                <c:formatCode>_-"$"* #,##0.00_-;\-"$"* #,##0.00_-;_-"$"* "-"??_-;_-@_-</c:formatCode>
                <c:ptCount val="8"/>
                <c:pt idx="0" formatCode="_-&quot;$&quot;* #,##0_-;\-&quot;$&quot;* #,##0_-;_-&quot;$&quot;* &quot;-&quot;??_-;_-@_-">
                  <c:v>604700.0</c:v>
                </c:pt>
                <c:pt idx="2" formatCode="_-&quot;$&quot;* #,##0_-;\-&quot;$&quot;* #,##0_-;_-&quot;$&quot;* &quot;-&quot;??_-;_-@_-">
                  <c:v>5.406189E6</c:v>
                </c:pt>
                <c:pt idx="4" formatCode="_-&quot;$&quot;* #,##0_-;\-&quot;$&quot;* #,##0_-;_-&quot;$&quot;* &quot;-&quot;??_-;_-@_-">
                  <c:v>1.74E7</c:v>
                </c:pt>
                <c:pt idx="6" formatCode="_-&quot;$&quot;* #,##0_-;\-&quot;$&quot;* #,##0_-;_-&quot;$&quot;* &quot;-&quot;??_-;_-@_-">
                  <c:v>2.3410889E7</c:v>
                </c:pt>
              </c:numCache>
            </c:numRef>
          </c:val>
        </c:ser>
        <c:ser>
          <c:idx val="1"/>
          <c:order val="1"/>
          <c:tx>
            <c:strRef>
              <c:f>'2014 -Revenue and transfers'!$C$4</c:f>
              <c:strCache>
                <c:ptCount val="1"/>
                <c:pt idx="0">
                  <c:v>Transfers sent</c:v>
                </c:pt>
              </c:strCache>
            </c:strRef>
          </c:tx>
          <c:invertIfNegative val="0"/>
          <c:cat>
            <c:strRef>
              <c:f>'2014 -Revenue and transfers'!$A$5:$A$12</c:f>
              <c:strCache>
                <c:ptCount val="8"/>
                <c:pt idx="0">
                  <c:v>Pre-FY 2013 revenue</c:v>
                </c:pt>
                <c:pt idx="1">
                  <c:v>Pre-FY 2013 costs</c:v>
                </c:pt>
                <c:pt idx="2">
                  <c:v>FY 2013 revenue</c:v>
                </c:pt>
                <c:pt idx="3">
                  <c:v>FY 2013 costs</c:v>
                </c:pt>
                <c:pt idx="4">
                  <c:v>FY 2014 revenue</c:v>
                </c:pt>
                <c:pt idx="5">
                  <c:v>FY 2014+ costs</c:v>
                </c:pt>
                <c:pt idx="6">
                  <c:v>Total revenue</c:v>
                </c:pt>
                <c:pt idx="7">
                  <c:v>Total costs</c:v>
                </c:pt>
              </c:strCache>
            </c:strRef>
          </c:cat>
          <c:val>
            <c:numRef>
              <c:f>'2014 -Revenue and transfers'!$C$5:$C$12</c:f>
              <c:numCache>
                <c:formatCode>_-"$"* #,##0_-;\-"$"* #,##0_-;_-"$"* "-"??_-;_-@_-</c:formatCode>
                <c:ptCount val="8"/>
                <c:pt idx="1">
                  <c:v>333994.0</c:v>
                </c:pt>
                <c:pt idx="3">
                  <c:v>1.0610577318902E6</c:v>
                </c:pt>
                <c:pt idx="5">
                  <c:v>4.98631479E6</c:v>
                </c:pt>
                <c:pt idx="7">
                  <c:v>6.3813665218902E6</c:v>
                </c:pt>
              </c:numCache>
            </c:numRef>
          </c:val>
        </c:ser>
        <c:ser>
          <c:idx val="2"/>
          <c:order val="2"/>
          <c:tx>
            <c:strRef>
              <c:f>'2014 -Revenue and transfers'!$D$4</c:f>
              <c:strCache>
                <c:ptCount val="1"/>
                <c:pt idx="0">
                  <c:v>Transfers pending</c:v>
                </c:pt>
              </c:strCache>
            </c:strRef>
          </c:tx>
          <c:invertIfNegative val="0"/>
          <c:cat>
            <c:strRef>
              <c:f>'2014 -Revenue and transfers'!$A$5:$A$12</c:f>
              <c:strCache>
                <c:ptCount val="8"/>
                <c:pt idx="0">
                  <c:v>Pre-FY 2013 revenue</c:v>
                </c:pt>
                <c:pt idx="1">
                  <c:v>Pre-FY 2013 costs</c:v>
                </c:pt>
                <c:pt idx="2">
                  <c:v>FY 2013 revenue</c:v>
                </c:pt>
                <c:pt idx="3">
                  <c:v>FY 2013 costs</c:v>
                </c:pt>
                <c:pt idx="4">
                  <c:v>FY 2014 revenue</c:v>
                </c:pt>
                <c:pt idx="5">
                  <c:v>FY 2014+ costs</c:v>
                </c:pt>
                <c:pt idx="6">
                  <c:v>Total revenue</c:v>
                </c:pt>
                <c:pt idx="7">
                  <c:v>Total costs</c:v>
                </c:pt>
              </c:strCache>
            </c:strRef>
          </c:cat>
          <c:val>
            <c:numRef>
              <c:f>'2014 -Revenue and transfers'!$D$5:$D$12</c:f>
              <c:numCache>
                <c:formatCode>_-"$"* #,##0_-;\-"$"* #,##0_-;_-"$"* "-"??_-;_-@_-</c:formatCode>
                <c:ptCount val="8"/>
                <c:pt idx="1">
                  <c:v>0.0</c:v>
                </c:pt>
                <c:pt idx="3">
                  <c:v>0.0</c:v>
                </c:pt>
                <c:pt idx="5">
                  <c:v>8.60921730714286E6</c:v>
                </c:pt>
                <c:pt idx="7">
                  <c:v>8.60921730714286E6</c:v>
                </c:pt>
              </c:numCache>
            </c:numRef>
          </c:val>
        </c:ser>
        <c:ser>
          <c:idx val="3"/>
          <c:order val="3"/>
          <c:tx>
            <c:strRef>
              <c:f>'2014 -Revenue and transfers'!$E$4</c:f>
              <c:strCache>
                <c:ptCount val="1"/>
                <c:pt idx="0">
                  <c:v>Other set up, marketing, and campaign costs</c:v>
                </c:pt>
              </c:strCache>
            </c:strRef>
          </c:tx>
          <c:invertIfNegative val="0"/>
          <c:cat>
            <c:strRef>
              <c:f>'2014 -Revenue and transfers'!$A$5:$A$12</c:f>
              <c:strCache>
                <c:ptCount val="8"/>
                <c:pt idx="0">
                  <c:v>Pre-FY 2013 revenue</c:v>
                </c:pt>
                <c:pt idx="1">
                  <c:v>Pre-FY 2013 costs</c:v>
                </c:pt>
                <c:pt idx="2">
                  <c:v>FY 2013 revenue</c:v>
                </c:pt>
                <c:pt idx="3">
                  <c:v>FY 2013 costs</c:v>
                </c:pt>
                <c:pt idx="4">
                  <c:v>FY 2014 revenue</c:v>
                </c:pt>
                <c:pt idx="5">
                  <c:v>FY 2014+ costs</c:v>
                </c:pt>
                <c:pt idx="6">
                  <c:v>Total revenue</c:v>
                </c:pt>
                <c:pt idx="7">
                  <c:v>Total costs</c:v>
                </c:pt>
              </c:strCache>
            </c:strRef>
          </c:cat>
          <c:val>
            <c:numRef>
              <c:f>'2014 -Revenue and transfers'!$E$5:$E$12</c:f>
              <c:numCache>
                <c:formatCode>_-"$"* #,##0_-;\-"$"* #,##0_-;_-"$"* "-"??_-;_-@_-</c:formatCode>
                <c:ptCount val="8"/>
                <c:pt idx="1">
                  <c:v>70200.0</c:v>
                </c:pt>
                <c:pt idx="3">
                  <c:v>368341.5841700651</c:v>
                </c:pt>
                <c:pt idx="5">
                  <c:v>1.11707841925528E6</c:v>
                </c:pt>
                <c:pt idx="7">
                  <c:v>1.55562000342534E6</c:v>
                </c:pt>
              </c:numCache>
            </c:numRef>
          </c:val>
        </c:ser>
        <c:ser>
          <c:idx val="4"/>
          <c:order val="4"/>
          <c:tx>
            <c:strRef>
              <c:f>'2014 -Revenue and transfers'!$F$4</c:f>
              <c:strCache>
                <c:ptCount val="1"/>
                <c:pt idx="0">
                  <c:v>Other set up, marketing, and campaign costs pending</c:v>
                </c:pt>
              </c:strCache>
            </c:strRef>
          </c:tx>
          <c:invertIfNegative val="0"/>
          <c:cat>
            <c:strRef>
              <c:f>'2014 -Revenue and transfers'!$A$5:$A$12</c:f>
              <c:strCache>
                <c:ptCount val="8"/>
                <c:pt idx="0">
                  <c:v>Pre-FY 2013 revenue</c:v>
                </c:pt>
                <c:pt idx="1">
                  <c:v>Pre-FY 2013 costs</c:v>
                </c:pt>
                <c:pt idx="2">
                  <c:v>FY 2013 revenue</c:v>
                </c:pt>
                <c:pt idx="3">
                  <c:v>FY 2013 costs</c:v>
                </c:pt>
                <c:pt idx="4">
                  <c:v>FY 2014 revenue</c:v>
                </c:pt>
                <c:pt idx="5">
                  <c:v>FY 2014+ costs</c:v>
                </c:pt>
                <c:pt idx="6">
                  <c:v>Total revenue</c:v>
                </c:pt>
                <c:pt idx="7">
                  <c:v>Total costs</c:v>
                </c:pt>
              </c:strCache>
            </c:strRef>
          </c:cat>
          <c:val>
            <c:numRef>
              <c:f>'2014 -Revenue and transfers'!$F$5:$F$12</c:f>
              <c:numCache>
                <c:formatCode>_-"$"* #,##0_-;\-"$"* #,##0_-;_-"$"* "-"??_-;_-@_-</c:formatCode>
                <c:ptCount val="8"/>
                <c:pt idx="1">
                  <c:v>0.0</c:v>
                </c:pt>
                <c:pt idx="3">
                  <c:v>0.0</c:v>
                </c:pt>
                <c:pt idx="5">
                  <c:v>738782.6817597316</c:v>
                </c:pt>
                <c:pt idx="7">
                  <c:v>738782.6817597316</c:v>
                </c:pt>
              </c:numCache>
            </c:numRef>
          </c:val>
        </c:ser>
        <c:dLbls>
          <c:showLegendKey val="0"/>
          <c:showVal val="0"/>
          <c:showCatName val="0"/>
          <c:showSerName val="0"/>
          <c:showPercent val="0"/>
          <c:showBubbleSize val="0"/>
        </c:dLbls>
        <c:gapWidth val="150"/>
        <c:overlap val="100"/>
        <c:axId val="2110388376"/>
        <c:axId val="2110338376"/>
      </c:barChart>
      <c:catAx>
        <c:axId val="2110388376"/>
        <c:scaling>
          <c:orientation val="minMax"/>
        </c:scaling>
        <c:delete val="0"/>
        <c:axPos val="b"/>
        <c:majorTickMark val="out"/>
        <c:minorTickMark val="none"/>
        <c:tickLblPos val="nextTo"/>
        <c:crossAx val="2110338376"/>
        <c:crosses val="autoZero"/>
        <c:auto val="1"/>
        <c:lblAlgn val="ctr"/>
        <c:lblOffset val="100"/>
        <c:noMultiLvlLbl val="0"/>
      </c:catAx>
      <c:valAx>
        <c:axId val="2110338376"/>
        <c:scaling>
          <c:orientation val="minMax"/>
        </c:scaling>
        <c:delete val="0"/>
        <c:axPos val="l"/>
        <c:majorGridlines/>
        <c:numFmt formatCode="_-&quot;$&quot;* #,##0_-;\-&quot;$&quot;* #,##0_-;_-&quot;$&quot;* &quot;-&quot;??_-;_-@_-" sourceLinked="1"/>
        <c:majorTickMark val="out"/>
        <c:minorTickMark val="none"/>
        <c:tickLblPos val="nextTo"/>
        <c:crossAx val="2110388376"/>
        <c:crosses val="autoZero"/>
        <c:crossBetween val="between"/>
      </c:valAx>
    </c:plotArea>
    <c:legend>
      <c:legendPos val="r"/>
      <c:overlay val="0"/>
    </c:legend>
    <c:plotVisOnly val="1"/>
    <c:dispBlanksAs val="gap"/>
    <c:showDLblsOverMax val="0"/>
  </c:chart>
  <c:printSettings>
    <c:headerFooter/>
    <c:pageMargins b="1.0" l="0.75" r="0.75" t="1.0"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emf"/><Relationship Id="rId2" Type="http://schemas.openxmlformats.org/officeDocument/2006/relationships/image" Target="../media/image2.emf"/></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 Id="rId2" Type="http://schemas.openxmlformats.org/officeDocument/2006/relationships/image" Target="../media/image4.emf"/></Relationships>
</file>

<file path=xl/drawings/_rels/drawing3.xml.rels><?xml version="1.0" encoding="UTF-8" standalone="yes"?>
<Relationships xmlns="http://schemas.openxmlformats.org/package/2006/relationships"><Relationship Id="rId1" Type="http://schemas.openxmlformats.org/officeDocument/2006/relationships/image" Target="../media/image5.emf"/><Relationship Id="rId2" Type="http://schemas.openxmlformats.org/officeDocument/2006/relationships/image" Target="../media/image6.emf"/></Relationships>
</file>

<file path=xl/drawings/_rels/drawing4.xml.rels><?xml version="1.0" encoding="UTF-8" standalone="yes"?>
<Relationships xmlns="http://schemas.openxmlformats.org/package/2006/relationships"><Relationship Id="rId1" Type="http://schemas.openxmlformats.org/officeDocument/2006/relationships/image" Target="../media/image7.emf"/><Relationship Id="rId2" Type="http://schemas.openxmlformats.org/officeDocument/2006/relationships/image" Target="../media/image8.emf"/></Relationships>
</file>

<file path=xl/drawings/_rels/drawing5.xml.rels><?xml version="1.0" encoding="UTF-8" standalone="yes"?>
<Relationships xmlns="http://schemas.openxmlformats.org/package/2006/relationships"><Relationship Id="rId1" Type="http://schemas.openxmlformats.org/officeDocument/2006/relationships/image" Target="../media/image9.emf"/><Relationship Id="rId2" Type="http://schemas.openxmlformats.org/officeDocument/2006/relationships/image" Target="../media/image10.emf"/></Relationships>
</file>

<file path=xl/drawings/_rels/drawing6.xml.rels><?xml version="1.0" encoding="UTF-8" standalone="yes"?>
<Relationships xmlns="http://schemas.openxmlformats.org/package/2006/relationships"><Relationship Id="rId1" Type="http://schemas.openxmlformats.org/officeDocument/2006/relationships/chart" Target="../charts/chart1.xml"/><Relationship Id="rId2"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image" Target="../media/image11.emf"/><Relationship Id="rId2" Type="http://schemas.openxmlformats.org/officeDocument/2006/relationships/image" Target="../media/image12.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114300</xdr:colOff>
      <xdr:row>1</xdr:row>
      <xdr:rowOff>38100</xdr:rowOff>
    </xdr:to>
    <xdr:sp macro="" textlink="">
      <xdr:nvSpPr>
        <xdr:cNvPr id="2" name="FILTER" hidden="1">
          <a:extLst>
            <a:ext uri="{63B3BB69-23CF-44E3-9099-C40C66FF867C}">
              <a14:compatExt xmlns:a14="http://schemas.microsoft.com/office/drawing/2010/main" spid="_x0000_s12289"/>
            </a:ext>
          </a:extLst>
        </xdr:cNvPr>
        <xdr:cNvSpPr/>
      </xdr:nvSpPr>
      <xdr:spPr>
        <a:xfrm>
          <a:off x="0" y="0"/>
          <a:ext cx="1028700" cy="215900"/>
        </a:xfrm>
        <a:prstGeom prst="rect">
          <a:avLst/>
        </a:prstGeom>
      </xdr:spPr>
    </xdr:sp>
    <xdr:clientData/>
  </xdr:twoCellAnchor>
  <xdr:twoCellAnchor editAs="oneCell">
    <xdr:from>
      <xdr:col>0</xdr:col>
      <xdr:colOff>0</xdr:colOff>
      <xdr:row>0</xdr:row>
      <xdr:rowOff>0</xdr:rowOff>
    </xdr:from>
    <xdr:to>
      <xdr:col>4</xdr:col>
      <xdr:colOff>114300</xdr:colOff>
      <xdr:row>1</xdr:row>
      <xdr:rowOff>38100</xdr:rowOff>
    </xdr:to>
    <xdr:sp macro="" textlink="">
      <xdr:nvSpPr>
        <xdr:cNvPr id="3" name="HEADER" hidden="1">
          <a:extLst>
            <a:ext uri="{63B3BB69-23CF-44E3-9099-C40C66FF867C}">
              <a14:compatExt xmlns:a14="http://schemas.microsoft.com/office/drawing/2010/main" spid="_x0000_s12290"/>
            </a:ext>
          </a:extLst>
        </xdr:cNvPr>
        <xdr:cNvSpPr/>
      </xdr:nvSpPr>
      <xdr:spPr>
        <a:xfrm>
          <a:off x="0" y="0"/>
          <a:ext cx="1028700" cy="215900"/>
        </a:xfrm>
        <a:prstGeom prst="rect">
          <a:avLst/>
        </a:prstGeom>
      </xdr:spPr>
    </xdr:sp>
    <xdr:clientData/>
  </xdr:twoCellAnchor>
  <xdr:twoCellAnchor editAs="oneCell">
    <xdr:from>
      <xdr:col>0</xdr:col>
      <xdr:colOff>0</xdr:colOff>
      <xdr:row>0</xdr:row>
      <xdr:rowOff>0</xdr:rowOff>
    </xdr:from>
    <xdr:to>
      <xdr:col>4</xdr:col>
      <xdr:colOff>114300</xdr:colOff>
      <xdr:row>1</xdr:row>
      <xdr:rowOff>38100</xdr:rowOff>
    </xdr:to>
    <xdr:pic>
      <xdr:nvPicPr>
        <xdr:cNvPr id="4" name="FILTER" hidden="1"/>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028700" cy="2159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4</xdr:col>
      <xdr:colOff>114300</xdr:colOff>
      <xdr:row>1</xdr:row>
      <xdr:rowOff>38100</xdr:rowOff>
    </xdr:to>
    <xdr:pic>
      <xdr:nvPicPr>
        <xdr:cNvPr id="5" name="HEADER" hidden="1"/>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1028700" cy="2159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114300</xdr:colOff>
      <xdr:row>1</xdr:row>
      <xdr:rowOff>25400</xdr:rowOff>
    </xdr:to>
    <xdr:sp macro="" textlink="">
      <xdr:nvSpPr>
        <xdr:cNvPr id="2" name="FILTER" hidden="1">
          <a:extLst>
            <a:ext uri="{63B3BB69-23CF-44E3-9099-C40C66FF867C}">
              <a14:compatExt xmlns:a14="http://schemas.microsoft.com/office/drawing/2010/main" spid="_x0000_s13313"/>
            </a:ext>
          </a:extLst>
        </xdr:cNvPr>
        <xdr:cNvSpPr/>
      </xdr:nvSpPr>
      <xdr:spPr>
        <a:xfrm>
          <a:off x="0" y="0"/>
          <a:ext cx="1028700" cy="215900"/>
        </a:xfrm>
        <a:prstGeom prst="rect">
          <a:avLst/>
        </a:prstGeom>
      </xdr:spPr>
    </xdr:sp>
    <xdr:clientData/>
  </xdr:twoCellAnchor>
  <xdr:twoCellAnchor editAs="oneCell">
    <xdr:from>
      <xdr:col>0</xdr:col>
      <xdr:colOff>0</xdr:colOff>
      <xdr:row>0</xdr:row>
      <xdr:rowOff>0</xdr:rowOff>
    </xdr:from>
    <xdr:to>
      <xdr:col>4</xdr:col>
      <xdr:colOff>114300</xdr:colOff>
      <xdr:row>1</xdr:row>
      <xdr:rowOff>25400</xdr:rowOff>
    </xdr:to>
    <xdr:sp macro="" textlink="">
      <xdr:nvSpPr>
        <xdr:cNvPr id="3" name="HEADER" hidden="1">
          <a:extLst>
            <a:ext uri="{63B3BB69-23CF-44E3-9099-C40C66FF867C}">
              <a14:compatExt xmlns:a14="http://schemas.microsoft.com/office/drawing/2010/main" spid="_x0000_s13314"/>
            </a:ext>
          </a:extLst>
        </xdr:cNvPr>
        <xdr:cNvSpPr/>
      </xdr:nvSpPr>
      <xdr:spPr>
        <a:xfrm>
          <a:off x="0" y="0"/>
          <a:ext cx="1028700" cy="215900"/>
        </a:xfrm>
        <a:prstGeom prst="rect">
          <a:avLst/>
        </a:prstGeom>
      </xdr:spPr>
    </xdr:sp>
    <xdr:clientData/>
  </xdr:twoCellAnchor>
  <xdr:twoCellAnchor editAs="oneCell">
    <xdr:from>
      <xdr:col>0</xdr:col>
      <xdr:colOff>0</xdr:colOff>
      <xdr:row>0</xdr:row>
      <xdr:rowOff>0</xdr:rowOff>
    </xdr:from>
    <xdr:to>
      <xdr:col>4</xdr:col>
      <xdr:colOff>114300</xdr:colOff>
      <xdr:row>1</xdr:row>
      <xdr:rowOff>25400</xdr:rowOff>
    </xdr:to>
    <xdr:pic>
      <xdr:nvPicPr>
        <xdr:cNvPr id="4" name="FILTER" hidden="1"/>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028700" cy="2159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4</xdr:col>
      <xdr:colOff>114300</xdr:colOff>
      <xdr:row>1</xdr:row>
      <xdr:rowOff>25400</xdr:rowOff>
    </xdr:to>
    <xdr:pic>
      <xdr:nvPicPr>
        <xdr:cNvPr id="5" name="HEADER" hidden="1"/>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1028700" cy="2159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114300</xdr:colOff>
      <xdr:row>1</xdr:row>
      <xdr:rowOff>12700</xdr:rowOff>
    </xdr:to>
    <xdr:sp macro="" textlink="">
      <xdr:nvSpPr>
        <xdr:cNvPr id="2" name="FILTER" hidden="1">
          <a:extLst>
            <a:ext uri="{63B3BB69-23CF-44E3-9099-C40C66FF867C}">
              <a14:compatExt xmlns:a14="http://schemas.microsoft.com/office/drawing/2010/main" spid="_x0000_s54273"/>
            </a:ext>
          </a:extLst>
        </xdr:cNvPr>
        <xdr:cNvSpPr/>
      </xdr:nvSpPr>
      <xdr:spPr>
        <a:xfrm>
          <a:off x="0" y="0"/>
          <a:ext cx="0" cy="0"/>
        </a:xfrm>
        <a:prstGeom prst="rect">
          <a:avLst/>
        </a:prstGeom>
      </xdr:spPr>
    </xdr:sp>
    <xdr:clientData/>
  </xdr:twoCellAnchor>
  <xdr:twoCellAnchor editAs="oneCell">
    <xdr:from>
      <xdr:col>0</xdr:col>
      <xdr:colOff>0</xdr:colOff>
      <xdr:row>0</xdr:row>
      <xdr:rowOff>0</xdr:rowOff>
    </xdr:from>
    <xdr:to>
      <xdr:col>4</xdr:col>
      <xdr:colOff>114300</xdr:colOff>
      <xdr:row>1</xdr:row>
      <xdr:rowOff>12700</xdr:rowOff>
    </xdr:to>
    <xdr:sp macro="" textlink="">
      <xdr:nvSpPr>
        <xdr:cNvPr id="3" name="HEADER" hidden="1">
          <a:extLst>
            <a:ext uri="{63B3BB69-23CF-44E3-9099-C40C66FF867C}">
              <a14:compatExt xmlns:a14="http://schemas.microsoft.com/office/drawing/2010/main" spid="_x0000_s54274"/>
            </a:ext>
          </a:extLst>
        </xdr:cNvPr>
        <xdr:cNvSpPr/>
      </xdr:nvSpPr>
      <xdr:spPr>
        <a:xfrm>
          <a:off x="0" y="0"/>
          <a:ext cx="0" cy="0"/>
        </a:xfrm>
        <a:prstGeom prst="rect">
          <a:avLst/>
        </a:prstGeom>
      </xdr:spPr>
    </xdr:sp>
    <xdr:clientData/>
  </xdr:twoCellAnchor>
  <xdr:twoCellAnchor editAs="oneCell">
    <xdr:from>
      <xdr:col>0</xdr:col>
      <xdr:colOff>0</xdr:colOff>
      <xdr:row>0</xdr:row>
      <xdr:rowOff>0</xdr:rowOff>
    </xdr:from>
    <xdr:to>
      <xdr:col>4</xdr:col>
      <xdr:colOff>114300</xdr:colOff>
      <xdr:row>1</xdr:row>
      <xdr:rowOff>12700</xdr:rowOff>
    </xdr:to>
    <xdr:pic>
      <xdr:nvPicPr>
        <xdr:cNvPr id="54273" name="FILTER" hidden="1"/>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028700" cy="2159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4</xdr:col>
      <xdr:colOff>114300</xdr:colOff>
      <xdr:row>1</xdr:row>
      <xdr:rowOff>12700</xdr:rowOff>
    </xdr:to>
    <xdr:pic>
      <xdr:nvPicPr>
        <xdr:cNvPr id="54274" name="HEADER" hidden="1"/>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1028700" cy="2159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114300</xdr:colOff>
      <xdr:row>1</xdr:row>
      <xdr:rowOff>25400</xdr:rowOff>
    </xdr:to>
    <xdr:sp macro="" textlink="">
      <xdr:nvSpPr>
        <xdr:cNvPr id="2" name="FILTER" hidden="1">
          <a:extLst>
            <a:ext uri="{63B3BB69-23CF-44E3-9099-C40C66FF867C}">
              <a14:compatExt xmlns:a14="http://schemas.microsoft.com/office/drawing/2010/main" spid="_x0000_s70657"/>
            </a:ext>
          </a:extLst>
        </xdr:cNvPr>
        <xdr:cNvSpPr/>
      </xdr:nvSpPr>
      <xdr:spPr>
        <a:xfrm>
          <a:off x="0" y="0"/>
          <a:ext cx="0" cy="0"/>
        </a:xfrm>
        <a:prstGeom prst="rect">
          <a:avLst/>
        </a:prstGeom>
      </xdr:spPr>
    </xdr:sp>
    <xdr:clientData/>
  </xdr:twoCellAnchor>
  <xdr:twoCellAnchor editAs="oneCell">
    <xdr:from>
      <xdr:col>0</xdr:col>
      <xdr:colOff>0</xdr:colOff>
      <xdr:row>0</xdr:row>
      <xdr:rowOff>0</xdr:rowOff>
    </xdr:from>
    <xdr:to>
      <xdr:col>4</xdr:col>
      <xdr:colOff>114300</xdr:colOff>
      <xdr:row>1</xdr:row>
      <xdr:rowOff>25400</xdr:rowOff>
    </xdr:to>
    <xdr:sp macro="" textlink="">
      <xdr:nvSpPr>
        <xdr:cNvPr id="3" name="HEADER" hidden="1">
          <a:extLst>
            <a:ext uri="{63B3BB69-23CF-44E3-9099-C40C66FF867C}">
              <a14:compatExt xmlns:a14="http://schemas.microsoft.com/office/drawing/2010/main" spid="_x0000_s70658"/>
            </a:ext>
          </a:extLst>
        </xdr:cNvPr>
        <xdr:cNvSpPr/>
      </xdr:nvSpPr>
      <xdr:spPr>
        <a:xfrm>
          <a:off x="0" y="0"/>
          <a:ext cx="0" cy="0"/>
        </a:xfrm>
        <a:prstGeom prst="rect">
          <a:avLst/>
        </a:prstGeom>
      </xdr:spPr>
    </xdr:sp>
    <xdr:clientData/>
  </xdr:twoCellAnchor>
  <xdr:twoCellAnchor editAs="oneCell">
    <xdr:from>
      <xdr:col>0</xdr:col>
      <xdr:colOff>0</xdr:colOff>
      <xdr:row>0</xdr:row>
      <xdr:rowOff>0</xdr:rowOff>
    </xdr:from>
    <xdr:to>
      <xdr:col>4</xdr:col>
      <xdr:colOff>114300</xdr:colOff>
      <xdr:row>1</xdr:row>
      <xdr:rowOff>25400</xdr:rowOff>
    </xdr:to>
    <xdr:pic>
      <xdr:nvPicPr>
        <xdr:cNvPr id="70657" name="FILTER" hidden="1"/>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028700" cy="2159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4</xdr:col>
      <xdr:colOff>114300</xdr:colOff>
      <xdr:row>1</xdr:row>
      <xdr:rowOff>25400</xdr:rowOff>
    </xdr:to>
    <xdr:pic>
      <xdr:nvPicPr>
        <xdr:cNvPr id="70658" name="HEADER" hidden="1"/>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1028700" cy="2159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114300</xdr:colOff>
      <xdr:row>1</xdr:row>
      <xdr:rowOff>25400</xdr:rowOff>
    </xdr:to>
    <xdr:sp macro="" textlink="">
      <xdr:nvSpPr>
        <xdr:cNvPr id="2" name="FILTER" hidden="1">
          <a:extLst>
            <a:ext uri="{63B3BB69-23CF-44E3-9099-C40C66FF867C}">
              <a14:compatExt xmlns:a14="http://schemas.microsoft.com/office/drawing/2010/main" spid="_x0000_s50177"/>
            </a:ext>
          </a:extLst>
        </xdr:cNvPr>
        <xdr:cNvSpPr/>
      </xdr:nvSpPr>
      <xdr:spPr>
        <a:xfrm>
          <a:off x="0" y="0"/>
          <a:ext cx="0" cy="0"/>
        </a:xfrm>
        <a:prstGeom prst="rect">
          <a:avLst/>
        </a:prstGeom>
      </xdr:spPr>
    </xdr:sp>
    <xdr:clientData/>
  </xdr:twoCellAnchor>
  <xdr:twoCellAnchor editAs="oneCell">
    <xdr:from>
      <xdr:col>0</xdr:col>
      <xdr:colOff>0</xdr:colOff>
      <xdr:row>0</xdr:row>
      <xdr:rowOff>0</xdr:rowOff>
    </xdr:from>
    <xdr:to>
      <xdr:col>4</xdr:col>
      <xdr:colOff>114300</xdr:colOff>
      <xdr:row>1</xdr:row>
      <xdr:rowOff>25400</xdr:rowOff>
    </xdr:to>
    <xdr:sp macro="" textlink="">
      <xdr:nvSpPr>
        <xdr:cNvPr id="3" name="HEADER" hidden="1">
          <a:extLst>
            <a:ext uri="{63B3BB69-23CF-44E3-9099-C40C66FF867C}">
              <a14:compatExt xmlns:a14="http://schemas.microsoft.com/office/drawing/2010/main" spid="_x0000_s50178"/>
            </a:ext>
          </a:extLst>
        </xdr:cNvPr>
        <xdr:cNvSpPr/>
      </xdr:nvSpPr>
      <xdr:spPr>
        <a:xfrm>
          <a:off x="0" y="0"/>
          <a:ext cx="0" cy="0"/>
        </a:xfrm>
        <a:prstGeom prst="rect">
          <a:avLst/>
        </a:prstGeom>
      </xdr:spPr>
    </xdr:sp>
    <xdr:clientData/>
  </xdr:twoCellAnchor>
  <xdr:twoCellAnchor editAs="oneCell">
    <xdr:from>
      <xdr:col>0</xdr:col>
      <xdr:colOff>0</xdr:colOff>
      <xdr:row>0</xdr:row>
      <xdr:rowOff>0</xdr:rowOff>
    </xdr:from>
    <xdr:to>
      <xdr:col>4</xdr:col>
      <xdr:colOff>114300</xdr:colOff>
      <xdr:row>1</xdr:row>
      <xdr:rowOff>25400</xdr:rowOff>
    </xdr:to>
    <xdr:pic>
      <xdr:nvPicPr>
        <xdr:cNvPr id="50177" name="FILTER" hidden="1"/>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028700" cy="2159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4</xdr:col>
      <xdr:colOff>114300</xdr:colOff>
      <xdr:row>1</xdr:row>
      <xdr:rowOff>25400</xdr:rowOff>
    </xdr:to>
    <xdr:pic>
      <xdr:nvPicPr>
        <xdr:cNvPr id="50178" name="HEADER" hidden="1"/>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1028700" cy="2159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15</xdr:col>
      <xdr:colOff>7620</xdr:colOff>
      <xdr:row>23</xdr:row>
      <xdr:rowOff>3810</xdr:rowOff>
    </xdr:from>
    <xdr:to>
      <xdr:col>21</xdr:col>
      <xdr:colOff>881380</xdr:colOff>
      <xdr:row>40</xdr:row>
      <xdr:rowOff>147320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203200</xdr:colOff>
      <xdr:row>23</xdr:row>
      <xdr:rowOff>12700</xdr:rowOff>
    </xdr:from>
    <xdr:to>
      <xdr:col>14</xdr:col>
      <xdr:colOff>469900</xdr:colOff>
      <xdr:row>40</xdr:row>
      <xdr:rowOff>127000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196850</xdr:colOff>
      <xdr:row>13</xdr:row>
      <xdr:rowOff>50800</xdr:rowOff>
    </xdr:from>
    <xdr:to>
      <xdr:col>9</xdr:col>
      <xdr:colOff>977900</xdr:colOff>
      <xdr:row>48</xdr:row>
      <xdr:rowOff>0</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7</xdr:col>
      <xdr:colOff>1206500</xdr:colOff>
      <xdr:row>2</xdr:row>
      <xdr:rowOff>25400</xdr:rowOff>
    </xdr:to>
    <xdr:sp macro="" textlink="">
      <xdr:nvSpPr>
        <xdr:cNvPr id="2" name="FILTER" hidden="1">
          <a:extLst>
            <a:ext uri="{63B3BB69-23CF-44E3-9099-C40C66FF867C}">
              <a14:compatExt xmlns:a14="http://schemas.microsoft.com/office/drawing/2010/main" spid="_x0000_s43009"/>
            </a:ext>
          </a:extLst>
        </xdr:cNvPr>
        <xdr:cNvSpPr/>
      </xdr:nvSpPr>
      <xdr:spPr>
        <a:xfrm>
          <a:off x="0" y="0"/>
          <a:ext cx="0" cy="0"/>
        </a:xfrm>
        <a:prstGeom prst="rect">
          <a:avLst/>
        </a:prstGeom>
      </xdr:spPr>
    </xdr:sp>
    <xdr:clientData/>
  </xdr:twoCellAnchor>
  <xdr:twoCellAnchor editAs="oneCell">
    <xdr:from>
      <xdr:col>0</xdr:col>
      <xdr:colOff>0</xdr:colOff>
      <xdr:row>1</xdr:row>
      <xdr:rowOff>0</xdr:rowOff>
    </xdr:from>
    <xdr:to>
      <xdr:col>7</xdr:col>
      <xdr:colOff>1206500</xdr:colOff>
      <xdr:row>2</xdr:row>
      <xdr:rowOff>25400</xdr:rowOff>
    </xdr:to>
    <xdr:sp macro="" textlink="">
      <xdr:nvSpPr>
        <xdr:cNvPr id="3" name="HEADER" hidden="1">
          <a:extLst>
            <a:ext uri="{63B3BB69-23CF-44E3-9099-C40C66FF867C}">
              <a14:compatExt xmlns:a14="http://schemas.microsoft.com/office/drawing/2010/main" spid="_x0000_s43010"/>
            </a:ext>
          </a:extLst>
        </xdr:cNvPr>
        <xdr:cNvSpPr/>
      </xdr:nvSpPr>
      <xdr:spPr>
        <a:xfrm>
          <a:off x="0" y="0"/>
          <a:ext cx="0" cy="0"/>
        </a:xfrm>
        <a:prstGeom prst="rect">
          <a:avLst/>
        </a:prstGeom>
      </xdr:spPr>
    </xdr:sp>
    <xdr:clientData/>
  </xdr:twoCellAnchor>
  <xdr:twoCellAnchor editAs="oneCell">
    <xdr:from>
      <xdr:col>0</xdr:col>
      <xdr:colOff>0</xdr:colOff>
      <xdr:row>1</xdr:row>
      <xdr:rowOff>0</xdr:rowOff>
    </xdr:from>
    <xdr:to>
      <xdr:col>7</xdr:col>
      <xdr:colOff>1206500</xdr:colOff>
      <xdr:row>2</xdr:row>
      <xdr:rowOff>25400</xdr:rowOff>
    </xdr:to>
    <xdr:pic>
      <xdr:nvPicPr>
        <xdr:cNvPr id="43009" name="FILTER" hidden="1"/>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806700" cy="2159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7</xdr:col>
      <xdr:colOff>1206500</xdr:colOff>
      <xdr:row>2</xdr:row>
      <xdr:rowOff>25400</xdr:rowOff>
    </xdr:to>
    <xdr:pic>
      <xdr:nvPicPr>
        <xdr:cNvPr id="43010" name="HEADER" hidden="1"/>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2806700" cy="2159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Rebecca/Downloads/Money%20out%20the%20door%20-%20cleaned%20up.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Calculations"/>
      <sheetName val="From GD Financials, 2015&gt;&gt;&gt;&gt;&gt; "/>
      <sheetName val="2015-Commitments by month"/>
      <sheetName val="2014 -Total expenses"/>
      <sheetName val="2015-Efficiency"/>
      <sheetName val="2014 -Revenue and transfers"/>
    </sheetNames>
    <sheetDataSet>
      <sheetData sheetId="0">
        <row r="3">
          <cell r="B3" t="str">
            <v>Pre FY13</v>
          </cell>
        </row>
      </sheetData>
      <sheetData sheetId="1" refreshError="1"/>
      <sheetData sheetId="2" refreshError="1"/>
      <sheetData sheetId="3">
        <row r="21">
          <cell r="C21">
            <v>333994</v>
          </cell>
        </row>
        <row r="34">
          <cell r="C34">
            <v>25271</v>
          </cell>
          <cell r="D34">
            <v>59672.000000000015</v>
          </cell>
          <cell r="E34">
            <v>149754.79999999999</v>
          </cell>
        </row>
        <row r="35">
          <cell r="C35">
            <v>11740</v>
          </cell>
          <cell r="D35">
            <v>56179.584170065122</v>
          </cell>
          <cell r="E35">
            <v>135027.38925527985</v>
          </cell>
        </row>
        <row r="36">
          <cell r="C36">
            <v>1223</v>
          </cell>
          <cell r="D36">
            <v>7551</v>
          </cell>
          <cell r="E36">
            <v>36817.11</v>
          </cell>
        </row>
        <row r="37">
          <cell r="C37">
            <v>0</v>
          </cell>
          <cell r="D37">
            <v>117787</v>
          </cell>
          <cell r="E37">
            <v>334017.23</v>
          </cell>
        </row>
        <row r="38">
          <cell r="C38">
            <v>0</v>
          </cell>
          <cell r="D38">
            <v>2319</v>
          </cell>
          <cell r="E38">
            <v>46282.879999999997</v>
          </cell>
        </row>
        <row r="39">
          <cell r="C39">
            <v>11966</v>
          </cell>
          <cell r="D39">
            <v>91135</v>
          </cell>
          <cell r="E39">
            <v>96860.54</v>
          </cell>
        </row>
        <row r="40">
          <cell r="C40">
            <v>20000</v>
          </cell>
          <cell r="D40">
            <v>33698</v>
          </cell>
          <cell r="E40">
            <v>318318.46999999997</v>
          </cell>
        </row>
      </sheetData>
      <sheetData sheetId="4">
        <row r="5">
          <cell r="L5">
            <v>468994.63</v>
          </cell>
        </row>
      </sheetData>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 Id="rId2"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7.xml"/><Relationship Id="rId2" Type="http://schemas.openxmlformats.org/officeDocument/2006/relationships/vmlDrawing" Target="../drawings/vmlDrawing5.vml"/><Relationship Id="rId3" Type="http://schemas.openxmlformats.org/officeDocument/2006/relationships/comments" Target="../comments5.xml"/></Relationships>
</file>

<file path=xl/worksheets/_rels/sheet11.xml.rels><?xml version="1.0" encoding="UTF-8" standalone="yes"?>
<Relationships xmlns="http://schemas.openxmlformats.org/package/2006/relationships"><Relationship Id="rId1" Type="http://schemas.openxmlformats.org/officeDocument/2006/relationships/vmlDrawing" Target="../drawings/vmlDrawing6.vml"/><Relationship Id="rId2" Type="http://schemas.openxmlformats.org/officeDocument/2006/relationships/comments" Target="../comments6.xml"/></Relationships>
</file>

<file path=xl/worksheets/_rels/sheet12.xml.rels><?xml version="1.0" encoding="UTF-8" standalone="yes"?>
<Relationships xmlns="http://schemas.openxmlformats.org/package/2006/relationships"><Relationship Id="rId1" Type="http://schemas.openxmlformats.org/officeDocument/2006/relationships/vmlDrawing" Target="../drawings/vmlDrawing7.vml"/><Relationship Id="rId2" Type="http://schemas.openxmlformats.org/officeDocument/2006/relationships/comments" Target="../comments7.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 Id="rId2" Type="http://schemas.openxmlformats.org/officeDocument/2006/relationships/vmlDrawing" Target="../drawings/vmlDrawing2.vml"/><Relationship Id="rId3" Type="http://schemas.openxmlformats.org/officeDocument/2006/relationships/comments" Target="../comments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 Id="rId2" Type="http://schemas.openxmlformats.org/officeDocument/2006/relationships/vmlDrawing" Target="../drawings/vmlDrawing3.vml"/><Relationship Id="rId3" Type="http://schemas.openxmlformats.org/officeDocument/2006/relationships/comments" Target="../comments3.xml"/></Relationships>
</file>

<file path=xl/worksheets/_rels/sheet9.xml.rels><?xml version="1.0" encoding="UTF-8" standalone="yes"?>
<Relationships xmlns="http://schemas.openxmlformats.org/package/2006/relationships"><Relationship Id="rId1" Type="http://schemas.openxmlformats.org/officeDocument/2006/relationships/vmlDrawing" Target="../drawings/vmlDrawing4.vml"/><Relationship Id="rId2"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rgb="FF92D050"/>
  </sheetPr>
  <dimension ref="A1:XEY51"/>
  <sheetViews>
    <sheetView topLeftCell="B2" workbookViewId="0">
      <selection activeCell="B4" sqref="B4"/>
    </sheetView>
  </sheetViews>
  <sheetFormatPr baseColWidth="10" defaultColWidth="8.83203125" defaultRowHeight="14" x14ac:dyDescent="0"/>
  <cols>
    <col min="1" max="1" width="3.33203125" style="212" customWidth="1"/>
    <col min="2" max="2" width="38.1640625" style="212" customWidth="1"/>
    <col min="3" max="3" width="19.5" style="212" customWidth="1"/>
    <col min="4" max="4" width="13.5" style="212" customWidth="1"/>
    <col min="5" max="5" width="14.83203125" style="212" customWidth="1"/>
    <col min="6" max="8" width="13.5" style="212" customWidth="1"/>
    <col min="9" max="9" width="10.6640625" style="212" bestFit="1" customWidth="1"/>
    <col min="10" max="10" width="14" style="212" bestFit="1" customWidth="1"/>
    <col min="11" max="11" width="15.6640625" style="212" customWidth="1"/>
    <col min="12" max="12" width="16" style="212" customWidth="1"/>
    <col min="13" max="13" width="13.83203125" style="212" customWidth="1"/>
    <col min="14" max="15" width="14" style="212" bestFit="1" customWidth="1"/>
    <col min="16" max="16" width="16.1640625" style="212" customWidth="1"/>
    <col min="17" max="17" width="16.6640625" style="212" customWidth="1"/>
    <col min="18" max="18" width="14.1640625" style="212" customWidth="1"/>
    <col min="19" max="16384" width="8.83203125" style="212"/>
  </cols>
  <sheetData>
    <row r="1" spans="1:23" hidden="1">
      <c r="B1" s="234"/>
    </row>
    <row r="2" spans="1:23">
      <c r="B2" s="234"/>
    </row>
    <row r="3" spans="1:23">
      <c r="B3" s="359" t="s">
        <v>584</v>
      </c>
      <c r="C3" s="359"/>
      <c r="D3" s="359"/>
      <c r="E3" s="359"/>
      <c r="F3" s="359"/>
      <c r="G3" s="359"/>
      <c r="H3" s="359"/>
      <c r="I3" s="359"/>
      <c r="K3" s="360" t="s">
        <v>586</v>
      </c>
      <c r="L3" s="361"/>
      <c r="M3" s="361"/>
      <c r="N3" s="361"/>
    </row>
    <row r="4" spans="1:23" s="235" customFormat="1" ht="42">
      <c r="B4" s="269" t="s">
        <v>539</v>
      </c>
      <c r="C4" s="270" t="s">
        <v>407</v>
      </c>
      <c r="D4" s="271" t="s">
        <v>408</v>
      </c>
      <c r="E4" s="271" t="s">
        <v>409</v>
      </c>
      <c r="F4" s="270" t="s">
        <v>410</v>
      </c>
      <c r="G4" s="270" t="s">
        <v>411</v>
      </c>
      <c r="H4" s="270" t="s">
        <v>412</v>
      </c>
      <c r="I4" s="272" t="s">
        <v>5</v>
      </c>
      <c r="K4" s="234"/>
      <c r="L4" s="235" t="s">
        <v>578</v>
      </c>
      <c r="M4"/>
      <c r="N4" s="212"/>
      <c r="O4" s="212"/>
      <c r="P4"/>
      <c r="Q4"/>
      <c r="R4"/>
      <c r="S4"/>
    </row>
    <row r="5" spans="1:23" ht="15">
      <c r="A5" s="235" t="s">
        <v>413</v>
      </c>
      <c r="B5" s="234"/>
      <c r="C5" s="205" t="s">
        <v>88</v>
      </c>
      <c r="D5" s="205" t="s">
        <v>355</v>
      </c>
      <c r="E5" s="205" t="s">
        <v>348</v>
      </c>
      <c r="F5" s="205" t="s">
        <v>13</v>
      </c>
      <c r="G5" s="205" t="s">
        <v>11</v>
      </c>
      <c r="H5" s="205" t="s">
        <v>10</v>
      </c>
      <c r="K5" s="235" t="s">
        <v>537</v>
      </c>
      <c r="L5" s="220">
        <f>'2015-Past P&amp;L'!CH14</f>
        <v>21363392.43</v>
      </c>
      <c r="M5"/>
      <c r="P5"/>
      <c r="Q5"/>
      <c r="R5"/>
      <c r="S5"/>
    </row>
    <row r="6" spans="1:23" ht="15">
      <c r="B6" s="209" t="s">
        <v>111</v>
      </c>
      <c r="C6" s="218">
        <f>IFERROR(INDEX('2015-Past P&amp;L'!$1:$1048576,MATCH('2015-Total spend + efficiency'!$B6,'2015-Past P&amp;L'!$E:$E,0),MATCH('2015-Total spend + efficiency'!C$5,'2015-Past P&amp;L'!$1:$1,0)),0)</f>
        <v>1870075.49</v>
      </c>
      <c r="D6" s="218">
        <f>IFERROR(INDEX('2015-Past P&amp;L'!$1:$1048576,MATCH('2015-Total spend + efficiency'!$B6,'2015-Past P&amp;L'!$E:$E,0),MATCH('2015-Total spend + efficiency'!D$5,'2015-Past P&amp;L'!$1:$1,0)),0)</f>
        <v>1276338.29</v>
      </c>
      <c r="E6" s="218">
        <f>IFERROR(INDEX('2015-Past P&amp;L'!$1:$1048576,MATCH('2015-Total spend + efficiency'!$B6,'2015-Past P&amp;L'!$E:$E,0),MATCH('2015-Total spend + efficiency'!E$5,'2015-Past P&amp;L'!$1:$1,0)),0)</f>
        <v>579336.09</v>
      </c>
      <c r="F6" s="218">
        <f>IFERROR(INDEX('2015-Past P&amp;L'!$1:$1048576,MATCH('2015-Total spend + efficiency'!$B6,'2015-Past P&amp;L'!$E:$E,0),MATCH('2015-Total spend + efficiency'!F$5,'2015-Past P&amp;L'!$1:$1,0)),0)</f>
        <v>12273614.029999999</v>
      </c>
      <c r="G6" s="218">
        <f>IFERROR(INDEX('2015-Past P&amp;L'!$1:$1048576,MATCH('2015-Total spend + efficiency'!$B6,'2015-Past P&amp;L'!$E:$E,0),MATCH('2015-Total spend + efficiency'!G$5,'2015-Past P&amp;L'!$1:$1,0)),0)</f>
        <v>1149469.4099999999</v>
      </c>
      <c r="H6" s="218">
        <f>IFERROR(INDEX('2015-Past P&amp;L'!$1:$1048576,MATCH('2015-Total spend + efficiency'!$B6,'2015-Past P&amp;L'!$E:$E,0),MATCH('2015-Total spend + efficiency'!H$5,'2015-Past P&amp;L'!$1:$1,0)),0)</f>
        <v>2060747.11</v>
      </c>
      <c r="I6" s="240">
        <f t="shared" ref="I6:I14" si="0">SUM(C6:H6)</f>
        <v>19209580.419999998</v>
      </c>
      <c r="K6" s="235" t="s">
        <v>424</v>
      </c>
      <c r="L6" s="220">
        <f>'2015-Past P&amp;L'!CH33</f>
        <v>468994.63</v>
      </c>
      <c r="M6"/>
      <c r="P6"/>
      <c r="Q6"/>
      <c r="R6"/>
      <c r="S6"/>
    </row>
    <row r="7" spans="1:23" ht="15">
      <c r="B7" s="209" t="s">
        <v>127</v>
      </c>
      <c r="C7" s="218">
        <f>IFERROR(INDEX('2015-Past P&amp;L'!$1:$1048576,MATCH('2015-Total spend + efficiency'!$B7,'2015-Past P&amp;L'!$E:$E,0),MATCH('2015-Total spend + efficiency'!C$5,'2015-Past P&amp;L'!$1:$1,0)),0)</f>
        <v>33348.14</v>
      </c>
      <c r="D7" s="218">
        <f>IFERROR(INDEX('2015-Past P&amp;L'!$1:$1048576,MATCH('2015-Total spend + efficiency'!$B7,'2015-Past P&amp;L'!$E:$E,0),MATCH('2015-Total spend + efficiency'!D$5,'2015-Past P&amp;L'!$1:$1,0)),0)</f>
        <v>15247.76</v>
      </c>
      <c r="E7" s="218">
        <f>IFERROR(INDEX('2015-Past P&amp;L'!$1:$1048576,MATCH('2015-Total spend + efficiency'!$B7,'2015-Past P&amp;L'!$E:$E,0),MATCH('2015-Total spend + efficiency'!E$5,'2015-Past P&amp;L'!$1:$1,0)),0)</f>
        <v>7094.52</v>
      </c>
      <c r="F7" s="218">
        <f>IFERROR(INDEX('2015-Past P&amp;L'!$1:$1048576,MATCH('2015-Total spend + efficiency'!$B7,'2015-Past P&amp;L'!$E:$E,0),MATCH('2015-Total spend + efficiency'!F$5,'2015-Past P&amp;L'!$1:$1,0)),0)</f>
        <v>300602.59000000003</v>
      </c>
      <c r="G7" s="218">
        <f>IFERROR(INDEX('2015-Past P&amp;L'!$1:$1048576,MATCH('2015-Total spend + efficiency'!$B7,'2015-Past P&amp;L'!$E:$E,0),MATCH('2015-Total spend + efficiency'!G$5,'2015-Past P&amp;L'!$1:$1,0)),0)</f>
        <v>25424.27</v>
      </c>
      <c r="H7" s="218">
        <f>IFERROR(INDEX('2015-Past P&amp;L'!$1:$1048576,MATCH('2015-Total spend + efficiency'!$B7,'2015-Past P&amp;L'!$E:$E,0),MATCH('2015-Total spend + efficiency'!H$5,'2015-Past P&amp;L'!$1:$1,0)),0)</f>
        <v>37775.370000000003</v>
      </c>
      <c r="I7" s="240">
        <f t="shared" si="0"/>
        <v>419492.65</v>
      </c>
      <c r="K7" s="235" t="s">
        <v>425</v>
      </c>
      <c r="L7" s="220">
        <f>'2015-Past P&amp;L'!CH22</f>
        <v>370984.93</v>
      </c>
      <c r="M7"/>
      <c r="P7"/>
      <c r="Q7"/>
      <c r="R7"/>
      <c r="S7"/>
    </row>
    <row r="8" spans="1:23" ht="15">
      <c r="B8" s="209" t="s">
        <v>117</v>
      </c>
      <c r="C8" s="218">
        <f>IFERROR(INDEX('2015-Past P&amp;L'!$1:$1048576,MATCH('2015-Total spend + efficiency'!$B8,'2015-Past P&amp;L'!$E:$E,0),MATCH('2015-Total spend + efficiency'!C$5,'2015-Past P&amp;L'!$1:$1,0)),0)</f>
        <v>29642.42</v>
      </c>
      <c r="D8" s="218">
        <f>IFERROR(INDEX('2015-Past P&amp;L'!$1:$1048576,MATCH('2015-Total spend + efficiency'!$B8,'2015-Past P&amp;L'!$E:$E,0),MATCH('2015-Total spend + efficiency'!D$5,'2015-Past P&amp;L'!$1:$1,0)),0)</f>
        <v>3005.41</v>
      </c>
      <c r="E8" s="218">
        <f>IFERROR(INDEX('2015-Past P&amp;L'!$1:$1048576,MATCH('2015-Total spend + efficiency'!$B8,'2015-Past P&amp;L'!$E:$E,0),MATCH('2015-Total spend + efficiency'!E$5,'2015-Past P&amp;L'!$1:$1,0)),0)</f>
        <v>4601.9799999999996</v>
      </c>
      <c r="F8" s="218">
        <f>IFERROR(INDEX('2015-Past P&amp;L'!$1:$1048576,MATCH('2015-Total spend + efficiency'!$B8,'2015-Past P&amp;L'!$E:$E,0),MATCH('2015-Total spend + efficiency'!F$5,'2015-Past P&amp;L'!$1:$1,0)),0)</f>
        <v>141382.5</v>
      </c>
      <c r="G8" s="218">
        <f>IFERROR(INDEX('2015-Past P&amp;L'!$1:$1048576,MATCH('2015-Total spend + efficiency'!$B8,'2015-Past P&amp;L'!$E:$E,0),MATCH('2015-Total spend + efficiency'!G$5,'2015-Past P&amp;L'!$1:$1,0)),0)</f>
        <v>15962.48</v>
      </c>
      <c r="H8" s="218">
        <f>IFERROR(INDEX('2015-Past P&amp;L'!$1:$1048576,MATCH('2015-Total spend + efficiency'!$B8,'2015-Past P&amp;L'!$E:$E,0),MATCH('2015-Total spend + efficiency'!H$5,'2015-Past P&amp;L'!$1:$1,0)),0)</f>
        <v>29366.11</v>
      </c>
      <c r="I8" s="240">
        <f t="shared" si="0"/>
        <v>223960.90000000002</v>
      </c>
      <c r="K8" s="235" t="s">
        <v>426</v>
      </c>
      <c r="L8" s="220">
        <f>'2015-Past P&amp;L'!CH41</f>
        <v>124109.28</v>
      </c>
      <c r="M8"/>
      <c r="P8"/>
      <c r="Q8"/>
      <c r="R8"/>
      <c r="S8"/>
    </row>
    <row r="9" spans="1:23" ht="15">
      <c r="B9" s="209" t="s">
        <v>128</v>
      </c>
      <c r="C9" s="218">
        <f>IFERROR(INDEX('2015-Past P&amp;L'!$1:$1048576,MATCH('2015-Total spend + efficiency'!$B9,'2015-Past P&amp;L'!$E:$E,0),MATCH('2015-Total spend + efficiency'!C$5,'2015-Past P&amp;L'!$1:$1,0)),0)</f>
        <v>15720.95</v>
      </c>
      <c r="D9" s="218">
        <f>IFERROR(INDEX('2015-Past P&amp;L'!$1:$1048576,MATCH('2015-Total spend + efficiency'!$B9,'2015-Past P&amp;L'!$E:$E,0),MATCH('2015-Total spend + efficiency'!D$5,'2015-Past P&amp;L'!$1:$1,0)),0)</f>
        <v>211.35</v>
      </c>
      <c r="E9" s="218">
        <f>IFERROR(INDEX('2015-Past P&amp;L'!$1:$1048576,MATCH('2015-Total spend + efficiency'!$B9,'2015-Past P&amp;L'!$E:$E,0),MATCH('2015-Total spend + efficiency'!E$5,'2015-Past P&amp;L'!$1:$1,0)),0)</f>
        <v>1180.19</v>
      </c>
      <c r="F9" s="218">
        <f>IFERROR(INDEX('2015-Past P&amp;L'!$1:$1048576,MATCH('2015-Total spend + efficiency'!$B9,'2015-Past P&amp;L'!$E:$E,0),MATCH('2015-Total spend + efficiency'!F$5,'2015-Past P&amp;L'!$1:$1,0)),0)</f>
        <v>70557.7</v>
      </c>
      <c r="G9" s="218">
        <f>IFERROR(INDEX('2015-Past P&amp;L'!$1:$1048576,MATCH('2015-Total spend + efficiency'!$B9,'2015-Past P&amp;L'!$E:$E,0),MATCH('2015-Total spend + efficiency'!G$5,'2015-Past P&amp;L'!$1:$1,0)),0)</f>
        <v>5410.35</v>
      </c>
      <c r="H9" s="218">
        <f>IFERROR(INDEX('2015-Past P&amp;L'!$1:$1048576,MATCH('2015-Total spend + efficiency'!$B9,'2015-Past P&amp;L'!$E:$E,0),MATCH('2015-Total spend + efficiency'!H$5,'2015-Past P&amp;L'!$1:$1,0)),0)</f>
        <v>5810.27</v>
      </c>
      <c r="I9" s="240">
        <f t="shared" si="0"/>
        <v>98890.810000000012</v>
      </c>
      <c r="K9" s="235" t="s">
        <v>78</v>
      </c>
      <c r="L9" s="220">
        <f>'2015-Past P&amp;L'!CH87</f>
        <v>2357255.13</v>
      </c>
      <c r="M9"/>
      <c r="P9"/>
      <c r="Q9"/>
      <c r="R9"/>
      <c r="S9"/>
    </row>
    <row r="10" spans="1:23" ht="15">
      <c r="B10" s="209" t="s">
        <v>213</v>
      </c>
      <c r="C10" s="218">
        <f>IFERROR(INDEX('2015-Past P&amp;L'!$1:$1048576,MATCH('2015-Total spend + efficiency'!$B10,'2015-Past P&amp;L'!$E:$E,0),MATCH('2015-Total spend + efficiency'!C$5,'2015-Past P&amp;L'!$1:$1,0)),0)</f>
        <v>198605.89</v>
      </c>
      <c r="D10" s="218">
        <f>IFERROR(INDEX('2015-Past P&amp;L'!$1:$1048576,MATCH('2015-Total spend + efficiency'!$B10,'2015-Past P&amp;L'!$E:$E,0),MATCH('2015-Total spend + efficiency'!D$5,'2015-Past P&amp;L'!$1:$1,0)),0)</f>
        <v>46998.36</v>
      </c>
      <c r="E10" s="218">
        <f>IFERROR(INDEX('2015-Past P&amp;L'!$1:$1048576,MATCH('2015-Total spend + efficiency'!$B10,'2015-Past P&amp;L'!$E:$E,0),MATCH('2015-Total spend + efficiency'!E$5,'2015-Past P&amp;L'!$1:$1,0)),0)</f>
        <v>13007.57</v>
      </c>
      <c r="F10" s="218">
        <f>IFERROR(INDEX('2015-Past P&amp;L'!$1:$1048576,MATCH('2015-Total spend + efficiency'!$B10,'2015-Past P&amp;L'!$E:$E,0),MATCH('2015-Total spend + efficiency'!F$5,'2015-Past P&amp;L'!$1:$1,0)),0)</f>
        <v>442106.96</v>
      </c>
      <c r="G10" s="218">
        <f>IFERROR(INDEX('2015-Past P&amp;L'!$1:$1048576,MATCH('2015-Total spend + efficiency'!$B10,'2015-Past P&amp;L'!$E:$E,0),MATCH('2015-Total spend + efficiency'!G$5,'2015-Past P&amp;L'!$1:$1,0)),0)</f>
        <v>42682.29</v>
      </c>
      <c r="H10" s="218">
        <f>IFERROR(INDEX('2015-Past P&amp;L'!$1:$1048576,MATCH('2015-Total spend + efficiency'!$B10,'2015-Past P&amp;L'!$E:$E,0),MATCH('2015-Total spend + efficiency'!H$5,'2015-Past P&amp;L'!$1:$1,0)),0)</f>
        <v>89643.1</v>
      </c>
      <c r="I10" s="240">
        <f t="shared" si="0"/>
        <v>833044.17</v>
      </c>
      <c r="K10" s="235" t="s">
        <v>427</v>
      </c>
      <c r="L10" s="220">
        <f>'2015-Past P&amp;L'!CH94</f>
        <v>58512.13</v>
      </c>
      <c r="M10"/>
      <c r="O10" s="220"/>
      <c r="P10"/>
      <c r="Q10"/>
      <c r="R10"/>
      <c r="S10"/>
    </row>
    <row r="11" spans="1:23" ht="15">
      <c r="B11" s="209" t="s">
        <v>414</v>
      </c>
      <c r="C11" s="218">
        <f t="shared" ref="C11:E11" si="1">C12-SUM(C6:C10)</f>
        <v>10717.490000000224</v>
      </c>
      <c r="D11" s="218">
        <f t="shared" si="1"/>
        <v>104.14999999990687</v>
      </c>
      <c r="E11" s="218">
        <f t="shared" si="1"/>
        <v>104.54000000015367</v>
      </c>
      <c r="F11" s="218">
        <f t="shared" ref="F11" si="2">F12-SUM(F6:F10)</f>
        <v>24095.13000000082</v>
      </c>
      <c r="G11" s="218">
        <f t="shared" ref="G11:H11" si="3">G12-SUM(G6:G10)</f>
        <v>5821.0100000000093</v>
      </c>
      <c r="H11" s="218">
        <f t="shared" si="3"/>
        <v>4241.2299999999814</v>
      </c>
      <c r="I11" s="240">
        <f t="shared" si="0"/>
        <v>45083.550000001094</v>
      </c>
      <c r="K11" s="235" t="s">
        <v>540</v>
      </c>
      <c r="L11" s="258">
        <f>SUM('2015-Past P&amp;L'!CH95:CH99)</f>
        <v>145752.56</v>
      </c>
      <c r="M11"/>
      <c r="P11"/>
      <c r="Q11"/>
      <c r="R11"/>
      <c r="S11"/>
    </row>
    <row r="12" spans="1:23" ht="15">
      <c r="B12" s="209" t="s">
        <v>415</v>
      </c>
      <c r="C12" s="218">
        <f>IFERROR(INDEX('2015-Past P&amp;L'!$1:$1048576,MATCH('2015-Total spend + efficiency'!$B12,'2015-Past P&amp;L'!$E:$E,0),MATCH('2015-Total spend + efficiency'!C$5,'2015-Past P&amp;L'!$1:$1,0)),0)</f>
        <v>2158110.38</v>
      </c>
      <c r="D12" s="218">
        <f>IFERROR(INDEX('2015-Past P&amp;L'!$1:$1048576,MATCH('2015-Total spend + efficiency'!$B12,'2015-Past P&amp;L'!$E:$E,0),MATCH('2015-Total spend + efficiency'!D$5,'2015-Past P&amp;L'!$1:$1,0)),0)</f>
        <v>1341905.32</v>
      </c>
      <c r="E12" s="218">
        <f>IFERROR(INDEX('2015-Past P&amp;L'!$1:$1048576,MATCH('2015-Total spend + efficiency'!$B12,'2015-Past P&amp;L'!$E:$E,0),MATCH('2015-Total spend + efficiency'!E$5,'2015-Past P&amp;L'!$1:$1,0)),0)</f>
        <v>605324.89</v>
      </c>
      <c r="F12" s="218">
        <f>IFERROR(INDEX('2015-Past P&amp;L'!$1:$1048576,MATCH('2015-Total spend + efficiency'!$B12,'2015-Past P&amp;L'!$E:$E,0),MATCH('2015-Total spend + efficiency'!F$5,'2015-Past P&amp;L'!$1:$1,0)),0)</f>
        <v>13252358.91</v>
      </c>
      <c r="G12" s="218">
        <f>IFERROR(INDEX('2015-Past P&amp;L'!$1:$1048576,MATCH('2015-Total spend + efficiency'!$B12,'2015-Past P&amp;L'!$E:$E,0),MATCH('2015-Total spend + efficiency'!G$5,'2015-Past P&amp;L'!$1:$1,0)),0)</f>
        <v>1244769.81</v>
      </c>
      <c r="H12" s="218">
        <f>IFERROR(INDEX('2015-Past P&amp;L'!$1:$1048576,MATCH('2015-Total spend + efficiency'!$B12,'2015-Past P&amp;L'!$E:$E,0),MATCH('2015-Total spend + efficiency'!H$5,'2015-Past P&amp;L'!$1:$1,0)),0)</f>
        <v>2227583.19</v>
      </c>
      <c r="I12" s="240">
        <f t="shared" si="0"/>
        <v>20830052.5</v>
      </c>
      <c r="K12"/>
      <c r="L12"/>
      <c r="M12"/>
      <c r="P12"/>
      <c r="Q12"/>
      <c r="R12"/>
      <c r="S12"/>
    </row>
    <row r="13" spans="1:23" s="236" customFormat="1" ht="15">
      <c r="B13" s="237" t="s">
        <v>416</v>
      </c>
      <c r="C13" s="238">
        <v>23201.842898651092</v>
      </c>
      <c r="D13" s="239">
        <v>0</v>
      </c>
      <c r="E13" s="238">
        <v>3969.3211264800802</v>
      </c>
      <c r="F13" s="239">
        <v>56502.664333393943</v>
      </c>
      <c r="G13" s="238">
        <v>10861.459538603151</v>
      </c>
      <c r="H13" s="238">
        <v>18528.356799557474</v>
      </c>
      <c r="I13" s="240">
        <f t="shared" si="0"/>
        <v>113063.64469668573</v>
      </c>
      <c r="K13" s="264"/>
      <c r="L13" s="258"/>
      <c r="M13" s="265"/>
      <c r="N13" s="212"/>
      <c r="O13" s="212"/>
      <c r="P13"/>
      <c r="Q13"/>
      <c r="R13"/>
      <c r="S13"/>
    </row>
    <row r="14" spans="1:23" ht="15">
      <c r="B14" s="275" t="s">
        <v>417</v>
      </c>
      <c r="C14" s="276">
        <f t="shared" ref="C14:H14" si="4">C12+C13</f>
        <v>2181312.2228986509</v>
      </c>
      <c r="D14" s="276">
        <f t="shared" si="4"/>
        <v>1341905.32</v>
      </c>
      <c r="E14" s="276">
        <f t="shared" si="4"/>
        <v>609294.21112648014</v>
      </c>
      <c r="F14" s="276">
        <f t="shared" si="4"/>
        <v>13308861.574333394</v>
      </c>
      <c r="G14" s="276">
        <f t="shared" si="4"/>
        <v>1255631.2695386033</v>
      </c>
      <c r="H14" s="276">
        <f t="shared" si="4"/>
        <v>2246111.5467995573</v>
      </c>
      <c r="I14" s="278">
        <f t="shared" si="0"/>
        <v>20943116.144696683</v>
      </c>
      <c r="K14" s="234"/>
      <c r="L14" s="235" t="s">
        <v>578</v>
      </c>
      <c r="M14" s="235" t="s">
        <v>254</v>
      </c>
      <c r="N14" s="235" t="s">
        <v>542</v>
      </c>
      <c r="Q14"/>
      <c r="R14"/>
      <c r="S14"/>
      <c r="T14"/>
      <c r="U14"/>
      <c r="V14"/>
      <c r="W14"/>
    </row>
    <row r="15" spans="1:23" ht="16" thickBot="1">
      <c r="B15" s="273" t="s">
        <v>421</v>
      </c>
      <c r="C15" s="274">
        <f>C6/C14</f>
        <v>0.85731674281590831</v>
      </c>
      <c r="D15" s="274">
        <f t="shared" ref="D15:I15" si="5">D6/D14</f>
        <v>0.95113885531059672</v>
      </c>
      <c r="E15" s="274">
        <f t="shared" si="5"/>
        <v>0.95083143647287771</v>
      </c>
      <c r="F15" s="274">
        <f t="shared" si="5"/>
        <v>0.92221366654455961</v>
      </c>
      <c r="G15" s="274">
        <f t="shared" si="5"/>
        <v>0.91545140511066292</v>
      </c>
      <c r="H15" s="274">
        <f t="shared" si="5"/>
        <v>0.91747318290417079</v>
      </c>
      <c r="I15" s="274">
        <f t="shared" si="5"/>
        <v>0.91722646655255935</v>
      </c>
      <c r="K15" s="235" t="s">
        <v>537</v>
      </c>
      <c r="L15" s="257">
        <f>L5</f>
        <v>21363392.43</v>
      </c>
      <c r="M15" s="259">
        <f>L15/($L$23+$L$25)</f>
        <v>0.8447701178061835</v>
      </c>
      <c r="N15" s="259">
        <f>L15/($L$24)</f>
        <v>0.90340427877755014</v>
      </c>
      <c r="Q15"/>
      <c r="R15"/>
      <c r="S15"/>
      <c r="T15"/>
      <c r="U15"/>
      <c r="V15"/>
      <c r="W15"/>
    </row>
    <row r="16" spans="1:23" ht="16" thickTop="1">
      <c r="B16" s="209"/>
      <c r="C16" s="218"/>
      <c r="D16" s="218"/>
      <c r="E16" s="218"/>
      <c r="F16" s="218"/>
      <c r="G16" s="218"/>
      <c r="H16" s="218"/>
      <c r="K16" s="235" t="s">
        <v>424</v>
      </c>
      <c r="L16" s="257">
        <f t="shared" ref="L16:L18" si="6">L6</f>
        <v>468994.63</v>
      </c>
      <c r="M16" s="259">
        <f t="shared" ref="M16:M21" si="7">L16/($L$23+$L$25)</f>
        <v>1.8545399572364053E-2</v>
      </c>
      <c r="N16" s="259">
        <f t="shared" ref="N16:N21" si="8">L16/$L$24</f>
        <v>1.9832606495151762E-2</v>
      </c>
      <c r="Q16"/>
      <c r="R16"/>
      <c r="S16"/>
      <c r="T16"/>
      <c r="U16"/>
      <c r="V16"/>
      <c r="W16"/>
    </row>
    <row r="17" spans="1:23" ht="15">
      <c r="K17" s="235" t="s">
        <v>425</v>
      </c>
      <c r="L17" s="257">
        <f t="shared" si="6"/>
        <v>370984.93</v>
      </c>
      <c r="M17" s="259">
        <f t="shared" si="7"/>
        <v>1.4669813516149445E-2</v>
      </c>
      <c r="N17" s="259">
        <f t="shared" si="8"/>
        <v>1.5688022125800082E-2</v>
      </c>
      <c r="Q17"/>
      <c r="R17"/>
      <c r="S17"/>
      <c r="T17"/>
      <c r="U17"/>
      <c r="V17"/>
      <c r="W17"/>
    </row>
    <row r="18" spans="1:23" ht="15">
      <c r="A18" s="235" t="s">
        <v>418</v>
      </c>
      <c r="B18" s="234"/>
      <c r="K18" s="235" t="s">
        <v>426</v>
      </c>
      <c r="L18" s="257">
        <f t="shared" si="6"/>
        <v>124109.28</v>
      </c>
      <c r="M18" s="259">
        <f t="shared" si="7"/>
        <v>4.9076386828531713E-3</v>
      </c>
      <c r="N18" s="259">
        <f t="shared" si="8"/>
        <v>5.2482701403992809E-3</v>
      </c>
      <c r="Q18"/>
      <c r="R18"/>
      <c r="S18"/>
      <c r="T18"/>
      <c r="U18"/>
      <c r="V18"/>
      <c r="W18"/>
    </row>
    <row r="19" spans="1:23" ht="15">
      <c r="B19" s="209" t="s">
        <v>111</v>
      </c>
      <c r="C19" s="218">
        <f>IFERROR(INDEX('2015-Future budget'!$1:$1048576,MATCH($B19,'2015-Future budget'!$E:$E,0),MATCH('2015-Total spend + efficiency'!C$5,'2015-Future budget'!$4:$4,0)),0)</f>
        <v>0</v>
      </c>
      <c r="D19" s="218">
        <f>IFERROR(INDEX('2015-Future budget'!$1:$1048576,MATCH($B19,'2015-Future budget'!$E:$E,0),MATCH('2015-Total spend + efficiency'!D$5,'2015-Future budget'!$4:$4,0)),0)</f>
        <v>0</v>
      </c>
      <c r="E19" s="218">
        <f>IFERROR(INDEX('2015-Future budget'!$1:$1048576,MATCH($B19,'2015-Future budget'!$E:$E,0),MATCH('2015-Total spend + efficiency'!E$5,'2015-Future budget'!$4:$4,0)),0)</f>
        <v>0</v>
      </c>
      <c r="F19" s="218">
        <f>IFERROR(INDEX('2015-Future budget'!$1:$1048576,MATCH($B19,'2015-Future budget'!$E:$E,0),MATCH('2015-Total spend + efficiency'!F$5,'2015-Future budget'!$4:$4,0)),0)</f>
        <v>7465782.8899999997</v>
      </c>
      <c r="G19" s="218">
        <f>IFERROR(INDEX('2015-Future budget'!$1:$1048576,MATCH($B19,'2015-Future budget'!$E:$E,0),MATCH('2015-Total spend + efficiency'!G$5,'2015-Future budget'!$4:$4,0)),0)</f>
        <v>469800</v>
      </c>
      <c r="H19" s="218">
        <f>IFERROR(INDEX('2015-Future budget'!$1:$1048576,MATCH($B19,'2015-Future budget'!$E:$E,0),MATCH('2015-Total spend + efficiency'!H$5,'2015-Future budget'!$4:$4,0)),0)</f>
        <v>0</v>
      </c>
      <c r="I19" s="240">
        <f t="shared" ref="I19:I24" si="9">SUM(C19:H19)</f>
        <v>7935582.8899999997</v>
      </c>
      <c r="K19" s="235" t="s">
        <v>538</v>
      </c>
      <c r="L19" s="257">
        <f>L9-'2015-Past P&amp;L'!BT87</f>
        <v>1249669.0799999998</v>
      </c>
      <c r="M19" s="259">
        <f t="shared" si="7"/>
        <v>4.9415517661318589E-2</v>
      </c>
      <c r="N19" s="259">
        <f t="shared" si="8"/>
        <v>5.2845370772791847E-2</v>
      </c>
      <c r="P19" s="220"/>
      <c r="Q19"/>
      <c r="R19"/>
      <c r="S19"/>
      <c r="T19"/>
      <c r="U19"/>
      <c r="V19"/>
      <c r="W19"/>
    </row>
    <row r="20" spans="1:23" ht="15">
      <c r="B20" s="209" t="s">
        <v>127</v>
      </c>
      <c r="C20" s="218">
        <f>IFERROR(INDEX('2015-Future budget'!$1:$1048576,MATCH($B20,'2015-Future budget'!$E:$E,0),MATCH('2015-Total spend + efficiency'!C$5,'2015-Future budget'!$4:$4,0)),0)</f>
        <v>0</v>
      </c>
      <c r="D20" s="218">
        <f>IFERROR(INDEX('2015-Future budget'!$1:$1048576,MATCH($B20,'2015-Future budget'!$E:$E,0),MATCH('2015-Total spend + efficiency'!D$5,'2015-Future budget'!$4:$4,0)),0)</f>
        <v>0</v>
      </c>
      <c r="E20" s="218">
        <f>IFERROR(INDEX('2015-Future budget'!$1:$1048576,MATCH($B20,'2015-Future budget'!$E:$E,0),MATCH('2015-Total spend + efficiency'!E$5,'2015-Future budget'!$4:$4,0)),0)</f>
        <v>0</v>
      </c>
      <c r="F20" s="218">
        <f>IFERROR(INDEX('2015-Future budget'!$1:$1048576,MATCH($B20,'2015-Future budget'!$E:$E,0),MATCH('2015-Total spend + efficiency'!F$5,'2015-Future budget'!$4:$4,0)),0)</f>
        <v>158355.44</v>
      </c>
      <c r="G20" s="218">
        <f>IFERROR(INDEX('2015-Future budget'!$1:$1048576,MATCH($B20,'2015-Future budget'!$E:$E,0),MATCH('2015-Total spend + efficiency'!G$5,'2015-Future budget'!$4:$4,0)),0)</f>
        <v>760.78</v>
      </c>
      <c r="H20" s="218">
        <f>IFERROR(INDEX('2015-Future budget'!$1:$1048576,MATCH($B20,'2015-Future budget'!$E:$E,0),MATCH('2015-Total spend + efficiency'!H$5,'2015-Future budget'!$4:$4,0)),0)</f>
        <v>242.9</v>
      </c>
      <c r="I20" s="240">
        <f t="shared" si="9"/>
        <v>159359.12</v>
      </c>
      <c r="K20" s="235" t="s">
        <v>544</v>
      </c>
      <c r="L20" s="257">
        <f>L10-'2015-Past P&amp;L'!BT94</f>
        <v>56058.03</v>
      </c>
      <c r="M20" s="259">
        <f t="shared" si="7"/>
        <v>2.216696096476779E-3</v>
      </c>
      <c r="N20" s="259">
        <f t="shared" si="8"/>
        <v>2.3705534749585777E-3</v>
      </c>
      <c r="Q20"/>
      <c r="R20"/>
      <c r="S20"/>
      <c r="T20"/>
      <c r="U20"/>
      <c r="V20"/>
      <c r="W20"/>
    </row>
    <row r="21" spans="1:23" ht="15">
      <c r="A21" s="237" t="s">
        <v>395</v>
      </c>
      <c r="B21" s="209" t="s">
        <v>117</v>
      </c>
      <c r="C21" s="218">
        <f>IFERROR(INDEX('2015-Future budget'!$1:$1048576,MATCH($B21,'2015-Future budget'!$E:$E,0),MATCH('2015-Total spend + efficiency'!C$5,'2015-Future budget'!$4:$4,0)),0)+IFERROR(INDEX('2015-Future budget'!$1:$1048576,MATCH($A21,'2015-Future budget'!$D:$D,0),MATCH('2015-Total spend + efficiency'!C$5,'2015-Future budget'!$4:$4,0)),0)</f>
        <v>822.22</v>
      </c>
      <c r="D21" s="218">
        <f>IFERROR(INDEX('2015-Future budget'!$1:$1048576,MATCH($B21,'2015-Future budget'!$E:$E,0),MATCH('2015-Total spend + efficiency'!D$5,'2015-Future budget'!$4:$4,0)),0)+IFERROR(INDEX('2015-Future budget'!$1:$1048576,MATCH($A21,'2015-Future budget'!$D:$D,0),MATCH('2015-Total spend + efficiency'!D$5,'2015-Future budget'!$4:$4,0)),0)</f>
        <v>6444.48</v>
      </c>
      <c r="E21" s="218">
        <f>IFERROR(INDEX('2015-Future budget'!$1:$1048576,MATCH($B21,'2015-Future budget'!$E:$E,0),MATCH('2015-Total spend + efficiency'!E$5,'2015-Future budget'!$4:$4,0)),0)+IFERROR(INDEX('2015-Future budget'!$1:$1048576,MATCH($A21,'2015-Future budget'!$D:$D,0),MATCH('2015-Total spend + efficiency'!E$5,'2015-Future budget'!$4:$4,0)),0)</f>
        <v>0</v>
      </c>
      <c r="F21" s="218">
        <f>IFERROR(INDEX('2015-Future budget'!$1:$1048576,MATCH($B21,'2015-Future budget'!$E:$E,0),MATCH('2015-Total spend + efficiency'!F$5,'2015-Future budget'!$4:$4,0)),0)+IFERROR(INDEX('2015-Future budget'!$1:$1048576,MATCH($A21,'2015-Future budget'!$D:$D,0),MATCH('2015-Total spend + efficiency'!F$5,'2015-Future budget'!$4:$4,0)),0)</f>
        <v>156795.22999999998</v>
      </c>
      <c r="G21" s="218">
        <f>IFERROR(INDEX('2015-Future budget'!$1:$1048576,MATCH($B21,'2015-Future budget'!$E:$E,0),MATCH('2015-Total spend + efficiency'!G$5,'2015-Future budget'!$4:$4,0)),0)+IFERROR(INDEX('2015-Future budget'!$1:$1048576,MATCH($A21,'2015-Future budget'!$D:$D,0),MATCH('2015-Total spend + efficiency'!G$5,'2015-Future budget'!$4:$4,0)),0)</f>
        <v>14563.8</v>
      </c>
      <c r="H21" s="218">
        <f>IFERROR(INDEX('2015-Future budget'!$1:$1048576,MATCH($B21,'2015-Future budget'!$E:$E,0),MATCH('2015-Total spend + efficiency'!H$5,'2015-Future budget'!$4:$4,0)),0)+IFERROR(INDEX('2015-Future budget'!$1:$1048576,MATCH($A21,'2015-Future budget'!$D:$D,0),MATCH('2015-Total spend + efficiency'!H$5,'2015-Future budget'!$4:$4,0)),0)</f>
        <v>0</v>
      </c>
      <c r="I21" s="240">
        <f t="shared" si="9"/>
        <v>178625.72999999998</v>
      </c>
      <c r="K21" s="235" t="s">
        <v>541</v>
      </c>
      <c r="L21" s="257">
        <f>L11-SUM('2015-Past P&amp;L'!BT95:BT99)</f>
        <v>14446.309999999998</v>
      </c>
      <c r="M21" s="259">
        <f t="shared" si="7"/>
        <v>5.712487396630501E-4</v>
      </c>
      <c r="N21" s="259">
        <f t="shared" si="8"/>
        <v>6.1089821334836146E-4</v>
      </c>
      <c r="Q21"/>
      <c r="R21"/>
      <c r="S21"/>
      <c r="T21"/>
      <c r="U21"/>
      <c r="V21"/>
      <c r="W21"/>
    </row>
    <row r="22" spans="1:23" ht="15">
      <c r="B22" s="209" t="s">
        <v>128</v>
      </c>
      <c r="C22" s="218">
        <f>IFERROR(INDEX('2015-Future budget'!$1:$1048576,MATCH($B22,'2015-Future budget'!$E:$E,0),MATCH('2015-Total spend + efficiency'!C$5,'2015-Future budget'!$4:$4,0)),0)</f>
        <v>4461.1899999999996</v>
      </c>
      <c r="D22" s="218">
        <f>IFERROR(INDEX('2015-Future budget'!$1:$1048576,MATCH($B22,'2015-Future budget'!$E:$E,0),MATCH('2015-Total spend + efficiency'!D$5,'2015-Future budget'!$4:$4,0)),0)</f>
        <v>18675.009999999998</v>
      </c>
      <c r="E22" s="218">
        <f>IFERROR(INDEX('2015-Future budget'!$1:$1048576,MATCH($B22,'2015-Future budget'!$E:$E,0),MATCH('2015-Total spend + efficiency'!E$5,'2015-Future budget'!$4:$4,0)),0)</f>
        <v>1108.45</v>
      </c>
      <c r="F22" s="218">
        <f>IFERROR(INDEX('2015-Future budget'!$1:$1048576,MATCH($B22,'2015-Future budget'!$E:$E,0),MATCH('2015-Total spend + efficiency'!F$5,'2015-Future budget'!$4:$4,0)),0)</f>
        <v>111030.7</v>
      </c>
      <c r="G22" s="218">
        <f>IFERROR(INDEX('2015-Future budget'!$1:$1048576,MATCH($B22,'2015-Future budget'!$E:$E,0),MATCH('2015-Total spend + efficiency'!G$5,'2015-Future budget'!$4:$4,0)),0)</f>
        <v>1093.24</v>
      </c>
      <c r="H22" s="218">
        <f>IFERROR(INDEX('2015-Future budget'!$1:$1048576,MATCH($B22,'2015-Future budget'!$E:$E,0),MATCH('2015-Total spend + efficiency'!H$5,'2015-Future budget'!$4:$4,0)),0)</f>
        <v>349.06</v>
      </c>
      <c r="I22" s="240">
        <f t="shared" si="9"/>
        <v>136717.65</v>
      </c>
      <c r="K22" s="260" t="s">
        <v>357</v>
      </c>
      <c r="L22" s="257">
        <f>'2015-Past P&amp;L'!BT87+'2015-Past P&amp;L'!BT94+SUM('2015-Past P&amp;L'!BT95:BT99)</f>
        <v>1241346.4000000001</v>
      </c>
      <c r="M22" s="259">
        <f>(L22+L25)/($L$23+$L$25)</f>
        <v>6.4903567924991551E-2</v>
      </c>
      <c r="N22" s="268" t="s">
        <v>4</v>
      </c>
      <c r="Q22"/>
      <c r="R22"/>
      <c r="S22"/>
      <c r="T22"/>
      <c r="U22"/>
      <c r="V22"/>
      <c r="W22"/>
    </row>
    <row r="23" spans="1:23" ht="16" thickBot="1">
      <c r="B23" s="209" t="s">
        <v>213</v>
      </c>
      <c r="C23" s="218">
        <f>IFERROR(INDEX('2015-Future budget'!$1:$1048576,MATCH($B23,'2015-Future budget'!$E:$E,0),MATCH('2015-Total spend + efficiency'!C$5,'2015-Future budget'!$4:$4,0)),0)</f>
        <v>14157.62</v>
      </c>
      <c r="D23" s="218">
        <f>IFERROR(INDEX('2015-Future budget'!$1:$1048576,MATCH($B23,'2015-Future budget'!$E:$E,0),MATCH('2015-Total spend + efficiency'!D$5,'2015-Future budget'!$4:$4,0)),0)</f>
        <v>74288.479999999996</v>
      </c>
      <c r="E23" s="218">
        <f>IFERROR(INDEX('2015-Future budget'!$1:$1048576,MATCH($B23,'2015-Future budget'!$E:$E,0),MATCH('2015-Total spend + efficiency'!E$5,'2015-Future budget'!$4:$4,0)),0)</f>
        <v>1859.96</v>
      </c>
      <c r="F23" s="218">
        <f>IFERROR(INDEX('2015-Future budget'!$1:$1048576,MATCH($B23,'2015-Future budget'!$E:$E,0),MATCH('2015-Total spend + efficiency'!F$5,'2015-Future budget'!$4:$4,0)),0)</f>
        <v>538975.56999999995</v>
      </c>
      <c r="G23" s="218">
        <f>IFERROR(INDEX('2015-Future budget'!$1:$1048576,MATCH($B23,'2015-Future budget'!$E:$E,0),MATCH('2015-Total spend + efficiency'!G$5,'2015-Future budget'!$4:$4,0)),0)</f>
        <v>10521.96</v>
      </c>
      <c r="H23" s="218">
        <f>IFERROR(INDEX('2015-Future budget'!$1:$1048576,MATCH($B23,'2015-Future budget'!$E:$E,0),MATCH('2015-Total spend + efficiency'!H$5,'2015-Future budget'!$4:$4,0)),0)</f>
        <v>8371.7000000000007</v>
      </c>
      <c r="I23" s="240">
        <f t="shared" si="9"/>
        <v>648175.2899999998</v>
      </c>
      <c r="K23" s="261" t="s">
        <v>5</v>
      </c>
      <c r="L23" s="324">
        <f>SUM(L15:L22)</f>
        <v>24889001.089999996</v>
      </c>
      <c r="M23" s="323"/>
      <c r="N23" s="263"/>
      <c r="Q23"/>
      <c r="R23"/>
      <c r="S23"/>
      <c r="T23"/>
      <c r="U23"/>
      <c r="V23"/>
      <c r="W23"/>
    </row>
    <row r="24" spans="1:23" ht="17" thickTop="1" thickBot="1">
      <c r="B24" s="275" t="s">
        <v>214</v>
      </c>
      <c r="C24" s="276">
        <f>SUM(C19:C23)</f>
        <v>19441.03</v>
      </c>
      <c r="D24" s="276">
        <f>SUM(D19:D23)</f>
        <v>99407.97</v>
      </c>
      <c r="E24" s="276">
        <f t="shared" ref="E24:H24" si="10">SUM(E19:E23)</f>
        <v>2968.41</v>
      </c>
      <c r="F24" s="276">
        <f t="shared" si="10"/>
        <v>8430939.8300000001</v>
      </c>
      <c r="G24" s="276">
        <f t="shared" si="10"/>
        <v>496739.78</v>
      </c>
      <c r="H24" s="276">
        <f t="shared" si="10"/>
        <v>8963.66</v>
      </c>
      <c r="I24" s="278">
        <f t="shared" si="9"/>
        <v>9058460.6799999997</v>
      </c>
      <c r="K24" s="266" t="s">
        <v>543</v>
      </c>
      <c r="L24" s="325">
        <f>L23-L22</f>
        <v>23647654.689999998</v>
      </c>
      <c r="M24" s="267"/>
      <c r="N24" s="267"/>
      <c r="Q24"/>
      <c r="R24"/>
      <c r="S24"/>
      <c r="T24"/>
      <c r="U24"/>
      <c r="V24"/>
      <c r="W24"/>
    </row>
    <row r="25" spans="1:23" ht="16" thickTop="1">
      <c r="B25" s="209"/>
      <c r="C25" s="218"/>
      <c r="D25" s="218"/>
      <c r="E25" s="218"/>
      <c r="F25" s="218"/>
      <c r="G25" s="218"/>
      <c r="H25" s="218"/>
      <c r="K25" s="260" t="s">
        <v>585</v>
      </c>
      <c r="L25" s="257">
        <f>4*100000</f>
        <v>400000</v>
      </c>
      <c r="M25" s="259"/>
      <c r="N25" s="268"/>
      <c r="Q25"/>
      <c r="R25"/>
      <c r="S25"/>
      <c r="T25"/>
      <c r="U25"/>
      <c r="V25"/>
      <c r="W25"/>
    </row>
    <row r="26" spans="1:23" ht="15">
      <c r="A26" s="235" t="s">
        <v>419</v>
      </c>
      <c r="B26" s="234"/>
      <c r="Q26"/>
      <c r="R26"/>
      <c r="S26"/>
      <c r="T26"/>
      <c r="U26"/>
      <c r="V26"/>
      <c r="W26"/>
    </row>
    <row r="27" spans="1:23">
      <c r="B27" s="209" t="s">
        <v>111</v>
      </c>
      <c r="C27" s="240">
        <f t="shared" ref="C27:H31" si="11">C6+C19</f>
        <v>1870075.49</v>
      </c>
      <c r="D27" s="240">
        <f t="shared" si="11"/>
        <v>1276338.29</v>
      </c>
      <c r="E27" s="240">
        <f t="shared" si="11"/>
        <v>579336.09</v>
      </c>
      <c r="F27" s="240">
        <f t="shared" si="11"/>
        <v>19739396.919999998</v>
      </c>
      <c r="G27" s="240">
        <f t="shared" si="11"/>
        <v>1619269.41</v>
      </c>
      <c r="H27" s="240">
        <f t="shared" si="11"/>
        <v>2060747.11</v>
      </c>
      <c r="I27" s="240">
        <f t="shared" ref="I27:I33" si="12">SUM(C27:H27)</f>
        <v>27145163.309999999</v>
      </c>
      <c r="N27" s="322"/>
    </row>
    <row r="28" spans="1:23">
      <c r="B28" s="209" t="s">
        <v>127</v>
      </c>
      <c r="C28" s="240">
        <f t="shared" si="11"/>
        <v>33348.14</v>
      </c>
      <c r="D28" s="240">
        <f t="shared" si="11"/>
        <v>15247.76</v>
      </c>
      <c r="E28" s="240">
        <f t="shared" si="11"/>
        <v>7094.52</v>
      </c>
      <c r="F28" s="240">
        <f t="shared" si="11"/>
        <v>458958.03</v>
      </c>
      <c r="G28" s="240">
        <f t="shared" si="11"/>
        <v>26185.05</v>
      </c>
      <c r="H28" s="240">
        <f t="shared" si="11"/>
        <v>38018.270000000004</v>
      </c>
      <c r="I28" s="240">
        <f t="shared" si="12"/>
        <v>578851.77</v>
      </c>
      <c r="L28" s="235" t="s">
        <v>579</v>
      </c>
      <c r="M28" s="235" t="s">
        <v>254</v>
      </c>
    </row>
    <row r="29" spans="1:23">
      <c r="B29" s="209" t="s">
        <v>117</v>
      </c>
      <c r="C29" s="240">
        <f t="shared" si="11"/>
        <v>30464.639999999999</v>
      </c>
      <c r="D29" s="240">
        <f t="shared" si="11"/>
        <v>9449.89</v>
      </c>
      <c r="E29" s="240">
        <f t="shared" si="11"/>
        <v>4601.9799999999996</v>
      </c>
      <c r="F29" s="240">
        <f t="shared" si="11"/>
        <v>298177.73</v>
      </c>
      <c r="G29" s="240">
        <f t="shared" si="11"/>
        <v>30526.28</v>
      </c>
      <c r="H29" s="240">
        <f t="shared" si="11"/>
        <v>29366.11</v>
      </c>
      <c r="I29" s="240">
        <f t="shared" si="12"/>
        <v>402586.63</v>
      </c>
      <c r="K29" s="235" t="s">
        <v>537</v>
      </c>
      <c r="L29" s="257">
        <f>'2015-Future budget'!S14</f>
        <v>7935582.8899999997</v>
      </c>
      <c r="M29" s="259">
        <f t="shared" ref="M29:M37" si="13">L29/$L$37</f>
        <v>0.72341960557669793</v>
      </c>
    </row>
    <row r="30" spans="1:23">
      <c r="B30" s="209" t="s">
        <v>128</v>
      </c>
      <c r="C30" s="240">
        <f t="shared" si="11"/>
        <v>20182.14</v>
      </c>
      <c r="D30" s="240">
        <f t="shared" si="11"/>
        <v>18886.359999999997</v>
      </c>
      <c r="E30" s="240">
        <f t="shared" si="11"/>
        <v>2288.6400000000003</v>
      </c>
      <c r="F30" s="240">
        <f t="shared" si="11"/>
        <v>181588.4</v>
      </c>
      <c r="G30" s="240">
        <f t="shared" si="11"/>
        <v>6503.59</v>
      </c>
      <c r="H30" s="240">
        <f t="shared" si="11"/>
        <v>6159.3300000000008</v>
      </c>
      <c r="I30" s="240">
        <f t="shared" si="12"/>
        <v>235608.45999999996</v>
      </c>
      <c r="K30" s="235" t="s">
        <v>424</v>
      </c>
      <c r="L30" s="257">
        <f>'2015-Future budget'!S30</f>
        <v>159359.12</v>
      </c>
      <c r="M30" s="259">
        <f t="shared" si="13"/>
        <v>1.4527415734101125E-2</v>
      </c>
    </row>
    <row r="31" spans="1:23">
      <c r="B31" s="209" t="s">
        <v>213</v>
      </c>
      <c r="C31" s="240">
        <f t="shared" si="11"/>
        <v>212763.51</v>
      </c>
      <c r="D31" s="240">
        <f t="shared" si="11"/>
        <v>121286.84</v>
      </c>
      <c r="E31" s="240">
        <f t="shared" si="11"/>
        <v>14867.529999999999</v>
      </c>
      <c r="F31" s="240">
        <f t="shared" si="11"/>
        <v>981082.53</v>
      </c>
      <c r="G31" s="240">
        <f t="shared" si="11"/>
        <v>53204.25</v>
      </c>
      <c r="H31" s="240">
        <f t="shared" si="11"/>
        <v>98014.8</v>
      </c>
      <c r="I31" s="240">
        <f t="shared" si="12"/>
        <v>1481219.4600000002</v>
      </c>
      <c r="K31" s="235" t="s">
        <v>425</v>
      </c>
      <c r="L31" s="257">
        <f>'2015-Future budget'!S21</f>
        <v>97361.58</v>
      </c>
      <c r="M31" s="259">
        <f t="shared" si="13"/>
        <v>8.8756272574104667E-3</v>
      </c>
    </row>
    <row r="32" spans="1:23">
      <c r="B32" s="209" t="s">
        <v>420</v>
      </c>
      <c r="C32" s="240">
        <f t="shared" ref="C32:H32" si="14">SUM(C11,C13)</f>
        <v>33919.332898651315</v>
      </c>
      <c r="D32" s="240">
        <f t="shared" si="14"/>
        <v>104.14999999990687</v>
      </c>
      <c r="E32" s="240">
        <f t="shared" si="14"/>
        <v>4073.8611264802339</v>
      </c>
      <c r="F32" s="240">
        <f t="shared" si="14"/>
        <v>80597.794333394762</v>
      </c>
      <c r="G32" s="240">
        <f t="shared" si="14"/>
        <v>16682.46953860316</v>
      </c>
      <c r="H32" s="240">
        <f t="shared" si="14"/>
        <v>22769.586799557455</v>
      </c>
      <c r="I32" s="240">
        <f t="shared" si="12"/>
        <v>158147.19469668684</v>
      </c>
      <c r="K32" s="235" t="s">
        <v>426</v>
      </c>
      <c r="L32" s="257">
        <f>'2015-Future budget'!S39</f>
        <v>136717.65</v>
      </c>
      <c r="M32" s="259">
        <f t="shared" si="13"/>
        <v>1.2463385463846254E-2</v>
      </c>
    </row>
    <row r="33" spans="2:15 16379:16379" ht="15">
      <c r="B33" s="275" t="s">
        <v>214</v>
      </c>
      <c r="C33" s="276">
        <f t="shared" ref="C33:H33" si="15">C24+C14</f>
        <v>2200753.2528986507</v>
      </c>
      <c r="D33" s="276">
        <f t="shared" si="15"/>
        <v>1441313.29</v>
      </c>
      <c r="E33" s="276">
        <f t="shared" si="15"/>
        <v>612262.62112648017</v>
      </c>
      <c r="F33" s="276">
        <f t="shared" si="15"/>
        <v>21739801.404333394</v>
      </c>
      <c r="G33" s="276">
        <f t="shared" si="15"/>
        <v>1752371.0495386033</v>
      </c>
      <c r="H33" s="276">
        <f t="shared" si="15"/>
        <v>2255075.2067995574</v>
      </c>
      <c r="I33" s="278">
        <f t="shared" si="12"/>
        <v>30001576.82469669</v>
      </c>
      <c r="K33" s="235" t="s">
        <v>78</v>
      </c>
      <c r="L33" s="257">
        <f>'2015-Future budget'!S84</f>
        <v>1517677.23</v>
      </c>
      <c r="M33" s="259">
        <f t="shared" si="13"/>
        <v>0.13835372629058829</v>
      </c>
    </row>
    <row r="34" spans="2:15 16379:16379" ht="15" thickBot="1">
      <c r="B34" s="273" t="s">
        <v>421</v>
      </c>
      <c r="C34" s="277">
        <f t="shared" ref="C34:H34" si="16">C27/C33</f>
        <v>0.84974337197361438</v>
      </c>
      <c r="D34" s="277">
        <f t="shared" si="16"/>
        <v>0.88553841753585716</v>
      </c>
      <c r="E34" s="277">
        <f t="shared" si="16"/>
        <v>0.94622155592987234</v>
      </c>
      <c r="F34" s="277">
        <f t="shared" si="16"/>
        <v>0.9079842337504217</v>
      </c>
      <c r="G34" s="277">
        <f t="shared" si="16"/>
        <v>0.92404483081728106</v>
      </c>
      <c r="H34" s="277">
        <f t="shared" si="16"/>
        <v>0.91382633438848759</v>
      </c>
      <c r="I34" s="277">
        <f t="shared" ref="I34" si="17">I27/I33</f>
        <v>0.90479122042860927</v>
      </c>
      <c r="K34" s="235" t="s">
        <v>427</v>
      </c>
      <c r="L34" s="257">
        <v>0</v>
      </c>
      <c r="M34" s="259">
        <f t="shared" si="13"/>
        <v>0</v>
      </c>
    </row>
    <row r="35" spans="2:15 16379:16379" ht="15" thickTop="1">
      <c r="K35" s="235" t="s">
        <v>540</v>
      </c>
      <c r="L35" s="257">
        <v>0</v>
      </c>
      <c r="M35" s="259">
        <f t="shared" si="13"/>
        <v>0</v>
      </c>
    </row>
    <row r="36" spans="2:15 16379:16379" ht="15">
      <c r="C36" s="241"/>
      <c r="D36" s="241"/>
      <c r="E36" s="241"/>
      <c r="F36" s="241"/>
      <c r="G36" s="241"/>
      <c r="H36" s="241"/>
      <c r="K36" s="235" t="s">
        <v>357</v>
      </c>
      <c r="L36" s="257">
        <f>'2015-Balance Sheet'!G116</f>
        <v>1122845.1100000001</v>
      </c>
      <c r="M36" s="259">
        <f t="shared" si="13"/>
        <v>0.10236023967735584</v>
      </c>
    </row>
    <row r="37" spans="2:15 16379:16379" ht="16" thickBot="1">
      <c r="B37" s="209" t="s">
        <v>422</v>
      </c>
      <c r="C37" s="242">
        <v>0.86450000000000005</v>
      </c>
      <c r="D37" s="242">
        <v>0.86070000000000002</v>
      </c>
      <c r="E37" s="241">
        <v>0.90600000000000003</v>
      </c>
      <c r="F37" s="241">
        <v>0.90600000000000003</v>
      </c>
      <c r="G37" s="241">
        <v>0.91</v>
      </c>
      <c r="H37" s="241">
        <v>0.91</v>
      </c>
      <c r="K37" s="261" t="s">
        <v>5</v>
      </c>
      <c r="L37" s="311">
        <f>SUM(L29:L36)</f>
        <v>10969543.58</v>
      </c>
      <c r="M37" s="262">
        <f t="shared" si="13"/>
        <v>1</v>
      </c>
      <c r="XEY37" s="243"/>
    </row>
    <row r="38" spans="2:15 16379:16379" ht="16" thickTop="1">
      <c r="B38" s="209" t="s">
        <v>423</v>
      </c>
      <c r="C38" s="241">
        <f t="shared" ref="C38:H38" si="18">C34-C37</f>
        <v>-1.4756628026385665E-2</v>
      </c>
      <c r="D38" s="241">
        <f t="shared" si="18"/>
        <v>2.4838417535857138E-2</v>
      </c>
      <c r="E38" s="241">
        <f t="shared" si="18"/>
        <v>4.022155592987231E-2</v>
      </c>
      <c r="F38" s="241">
        <f t="shared" si="18"/>
        <v>1.9842337504216712E-3</v>
      </c>
      <c r="G38" s="241">
        <f t="shared" si="18"/>
        <v>1.4044830817281029E-2</v>
      </c>
      <c r="H38" s="241">
        <f t="shared" si="18"/>
        <v>3.8263343884875622E-3</v>
      </c>
    </row>
    <row r="39" spans="2:15 16379:16379" ht="15">
      <c r="B39" s="244"/>
      <c r="C39" s="245"/>
      <c r="D39" s="246"/>
      <c r="F39" s="247"/>
    </row>
    <row r="40" spans="2:15 16379:16379" ht="15">
      <c r="K40"/>
      <c r="L40" s="235" t="s">
        <v>580</v>
      </c>
      <c r="M40" s="235" t="s">
        <v>254</v>
      </c>
      <c r="N40" s="235" t="s">
        <v>542</v>
      </c>
    </row>
    <row r="41" spans="2:15 16379:16379">
      <c r="C41" s="235" t="s">
        <v>407</v>
      </c>
      <c r="D41" s="235" t="s">
        <v>408</v>
      </c>
      <c r="E41" s="235" t="s">
        <v>576</v>
      </c>
      <c r="F41" s="235" t="s">
        <v>577</v>
      </c>
      <c r="G41" s="235" t="s">
        <v>411</v>
      </c>
      <c r="H41" s="235" t="s">
        <v>412</v>
      </c>
      <c r="K41" s="235" t="s">
        <v>537</v>
      </c>
      <c r="L41" s="310">
        <f t="shared" ref="L41:L46" si="19">L29+L15</f>
        <v>29298975.32</v>
      </c>
      <c r="M41" s="259">
        <f>L41/($L$49+$L$51)</f>
        <v>0.80805712382167705</v>
      </c>
      <c r="N41" s="259">
        <f>L41/$L$50</f>
        <v>0.8747437271005355</v>
      </c>
    </row>
    <row r="42" spans="2:15 16379:16379">
      <c r="C42" s="205" t="s">
        <v>88</v>
      </c>
      <c r="D42" s="205" t="s">
        <v>355</v>
      </c>
      <c r="E42" s="205" t="s">
        <v>348</v>
      </c>
      <c r="F42" s="205" t="s">
        <v>13</v>
      </c>
      <c r="G42" s="205" t="s">
        <v>11</v>
      </c>
      <c r="H42" s="205" t="s">
        <v>10</v>
      </c>
      <c r="K42" s="235" t="s">
        <v>424</v>
      </c>
      <c r="L42" s="310">
        <f t="shared" si="19"/>
        <v>628353.75</v>
      </c>
      <c r="M42" s="259">
        <f t="shared" ref="M42:M47" si="20">L42/($L$49+$L$51)</f>
        <v>1.73298116545724E-2</v>
      </c>
      <c r="N42" s="259">
        <f t="shared" ref="N42:N47" si="21">L42/$L$50</f>
        <v>1.8759990587022282E-2</v>
      </c>
      <c r="O42" s="310"/>
    </row>
    <row r="43" spans="2:15 16379:16379">
      <c r="B43" s="235" t="s">
        <v>537</v>
      </c>
      <c r="C43" s="288">
        <f>'2015-Past P&amp;L'!BN10</f>
        <v>1281552.83</v>
      </c>
      <c r="D43" s="288">
        <f>'2015-Past P&amp;L'!BP10</f>
        <v>52283.25</v>
      </c>
      <c r="E43" s="288">
        <f>'2015-Past P&amp;L'!AB10</f>
        <v>249163.38</v>
      </c>
      <c r="F43" s="288">
        <f>'2015-Past P&amp;L'!BB10</f>
        <v>7376124.7199999997</v>
      </c>
      <c r="G43" s="288">
        <f>'2015-Past P&amp;L'!AZ10</f>
        <v>1145034.06</v>
      </c>
      <c r="H43" s="288">
        <f>'2015-Past P&amp;L'!AX10</f>
        <v>1988022.9</v>
      </c>
      <c r="K43" s="235" t="s">
        <v>425</v>
      </c>
      <c r="L43" s="310">
        <f t="shared" si="19"/>
        <v>468346.51</v>
      </c>
      <c r="M43" s="259">
        <f t="shared" si="20"/>
        <v>1.2916859026267146E-2</v>
      </c>
      <c r="N43" s="259">
        <f t="shared" si="21"/>
        <v>1.3982849818378162E-2</v>
      </c>
    </row>
    <row r="44" spans="2:15 16379:16379">
      <c r="B44" s="235" t="s">
        <v>574</v>
      </c>
      <c r="C44" s="288">
        <f>'2015-Past P&amp;L'!BN13</f>
        <v>46208.99</v>
      </c>
      <c r="D44" s="288">
        <f>'2015-Past P&amp;L'!BP13</f>
        <v>0</v>
      </c>
      <c r="E44" s="288">
        <f>'2015-Past P&amp;L'!AB13</f>
        <v>20585.91</v>
      </c>
      <c r="F44" s="288">
        <f>'2015-Past P&amp;L'!BB13</f>
        <v>309687.76</v>
      </c>
      <c r="G44" s="288">
        <f>'2015-Past P&amp;L'!AZ13</f>
        <v>3573.87</v>
      </c>
      <c r="H44" s="288">
        <f>'2015-Past P&amp;L'!AX13</f>
        <v>36862.800000000003</v>
      </c>
      <c r="K44" s="235" t="s">
        <v>426</v>
      </c>
      <c r="L44" s="310">
        <f t="shared" si="19"/>
        <v>260826.93</v>
      </c>
      <c r="M44" s="259">
        <f t="shared" si="20"/>
        <v>7.1935300319928694E-3</v>
      </c>
      <c r="N44" s="259">
        <f t="shared" si="21"/>
        <v>7.7871911349966785E-3</v>
      </c>
    </row>
    <row r="45" spans="2:15 16379:16379">
      <c r="B45" s="235" t="s">
        <v>573</v>
      </c>
      <c r="C45" s="288">
        <f>'2015-Past P&amp;L'!BN11</f>
        <v>1823937.26</v>
      </c>
      <c r="D45" s="288">
        <f>'2015-Past P&amp;L'!BP11</f>
        <v>1276406.4099999999</v>
      </c>
      <c r="E45" s="288">
        <f>'2015-Past P&amp;L'!AB11</f>
        <v>558750.74</v>
      </c>
      <c r="F45" s="288">
        <f>'2015-Past P&amp;L'!BB11</f>
        <v>11971544.99</v>
      </c>
      <c r="G45" s="288">
        <f>'2015-Past P&amp;L'!AZ11</f>
        <v>1146291.01</v>
      </c>
      <c r="H45" s="288">
        <f>'2015-Past P&amp;L'!AX11</f>
        <v>2024471.57</v>
      </c>
      <c r="K45" s="235" t="s">
        <v>538</v>
      </c>
      <c r="L45" s="310">
        <f t="shared" si="19"/>
        <v>2767346.3099999996</v>
      </c>
      <c r="M45" s="259">
        <f t="shared" si="20"/>
        <v>7.6322597478372528E-2</v>
      </c>
      <c r="N45" s="259">
        <f t="shared" si="21"/>
        <v>8.2621279377469839E-2</v>
      </c>
    </row>
    <row r="46" spans="2:15 16379:16379">
      <c r="B46" s="315" t="s">
        <v>575</v>
      </c>
      <c r="C46" s="308">
        <f>(C43+C44)/C45</f>
        <v>0.72796463404667766</v>
      </c>
      <c r="D46" s="308">
        <f t="shared" ref="D46:H46" si="22">(D43+D44)/D45</f>
        <v>4.0961287557307081E-2</v>
      </c>
      <c r="E46" s="308">
        <f t="shared" si="22"/>
        <v>0.48277213914741302</v>
      </c>
      <c r="F46" s="308">
        <f t="shared" si="22"/>
        <v>0.64200673233238204</v>
      </c>
      <c r="G46" s="308">
        <f t="shared" si="22"/>
        <v>1.0020212319383017</v>
      </c>
      <c r="H46" s="308">
        <f t="shared" si="22"/>
        <v>1.0002045620230666</v>
      </c>
      <c r="K46" s="235" t="s">
        <v>544</v>
      </c>
      <c r="L46" s="310">
        <f t="shared" si="19"/>
        <v>56058.03</v>
      </c>
      <c r="M46" s="259">
        <f t="shared" si="20"/>
        <v>1.5460639832679747E-3</v>
      </c>
      <c r="N46" s="259">
        <f t="shared" si="21"/>
        <v>1.6736561453273935E-3</v>
      </c>
    </row>
    <row r="47" spans="2:15 16379:16379">
      <c r="K47" s="235" t="s">
        <v>541</v>
      </c>
      <c r="L47" s="310">
        <f>L21+L35</f>
        <v>14446.309999999998</v>
      </c>
      <c r="M47" s="259">
        <f t="shared" si="20"/>
        <v>3.9842498179340182E-4</v>
      </c>
      <c r="N47" s="259">
        <f t="shared" si="21"/>
        <v>4.3130583627010394E-4</v>
      </c>
    </row>
    <row r="48" spans="2:15 16379:16379">
      <c r="B48" s="209"/>
      <c r="C48" s="246"/>
      <c r="D48" s="246"/>
      <c r="E48" s="246"/>
      <c r="F48" s="246"/>
      <c r="G48" s="246"/>
      <c r="H48" s="246"/>
      <c r="K48" s="235" t="s">
        <v>357</v>
      </c>
      <c r="L48" s="309">
        <f>L22+L36</f>
        <v>2364191.5100000002</v>
      </c>
      <c r="M48" s="259">
        <f>(L48+L51)/($L$49+$L$51)</f>
        <v>7.6235589022056585E-2</v>
      </c>
      <c r="N48" s="321" t="s">
        <v>4</v>
      </c>
    </row>
    <row r="49" spans="2:14" ht="15" thickBot="1">
      <c r="K49" s="261" t="s">
        <v>5</v>
      </c>
      <c r="L49" s="313">
        <f>SUM(L41:L48)</f>
        <v>35858544.670000002</v>
      </c>
      <c r="M49" s="262"/>
      <c r="N49" s="263"/>
    </row>
    <row r="50" spans="2:14" ht="17" thickTop="1" thickBot="1">
      <c r="B50" s="209"/>
      <c r="C50" s="242"/>
      <c r="D50" s="242"/>
      <c r="E50" s="242"/>
      <c r="F50" s="242"/>
      <c r="G50" s="242"/>
      <c r="H50" s="242"/>
      <c r="K50" s="326" t="s">
        <v>583</v>
      </c>
      <c r="L50" s="320">
        <f>SUM(L41:L47)</f>
        <v>33494353.16</v>
      </c>
      <c r="M50" s="319"/>
      <c r="N50" s="319"/>
    </row>
    <row r="51" spans="2:14" ht="15" thickTop="1">
      <c r="K51" s="260" t="s">
        <v>585</v>
      </c>
      <c r="L51" s="220">
        <f>4*100000</f>
        <v>400000</v>
      </c>
    </row>
  </sheetData>
  <mergeCells count="2">
    <mergeCell ref="B3:I3"/>
    <mergeCell ref="K3:N3"/>
  </mergeCells>
  <phoneticPr fontId="52" type="noConversion"/>
  <pageMargins left="0.7" right="0.7" top="0.75" bottom="0.75" header="0.3" footer="0.3"/>
  <pageSetup orientation="portrait"/>
  <legacyDrawing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53"/>
  <sheetViews>
    <sheetView workbookViewId="0">
      <selection activeCell="B9" sqref="B9"/>
    </sheetView>
  </sheetViews>
  <sheetFormatPr baseColWidth="10" defaultRowHeight="15" x14ac:dyDescent="0"/>
  <cols>
    <col min="2" max="2" width="15.1640625" bestFit="1" customWidth="1"/>
    <col min="3" max="5" width="14.1640625" bestFit="1" customWidth="1"/>
    <col min="6" max="6" width="14" bestFit="1" customWidth="1"/>
    <col min="8" max="8" width="13.6640625" customWidth="1"/>
    <col min="9" max="9" width="14.33203125" bestFit="1" customWidth="1"/>
    <col min="10" max="10" width="14.1640625" bestFit="1" customWidth="1"/>
    <col min="11" max="11" width="15.5" customWidth="1"/>
    <col min="12" max="12" width="12.5" bestFit="1" customWidth="1"/>
  </cols>
  <sheetData>
    <row r="1" spans="1:8">
      <c r="A1" s="115" t="s">
        <v>301</v>
      </c>
      <c r="B1" s="135"/>
      <c r="C1" s="135"/>
      <c r="D1" s="135"/>
      <c r="E1" s="135"/>
      <c r="F1" s="135"/>
      <c r="G1" s="135"/>
      <c r="H1" s="135"/>
    </row>
    <row r="2" spans="1:8">
      <c r="A2" s="115" t="s">
        <v>307</v>
      </c>
      <c r="B2" s="135"/>
      <c r="C2" s="135"/>
      <c r="D2" s="135"/>
      <c r="E2" s="135"/>
      <c r="F2" s="135"/>
      <c r="G2" s="135"/>
      <c r="H2" s="135"/>
    </row>
    <row r="3" spans="1:8">
      <c r="A3" s="135"/>
      <c r="B3" s="135"/>
      <c r="C3" s="135"/>
      <c r="D3" s="135"/>
      <c r="E3" s="135"/>
      <c r="F3" s="135"/>
      <c r="G3" s="135"/>
      <c r="H3" s="135"/>
    </row>
    <row r="4" spans="1:8">
      <c r="A4" s="135"/>
      <c r="B4" s="115" t="s">
        <v>0</v>
      </c>
      <c r="C4" s="115" t="s">
        <v>3</v>
      </c>
      <c r="D4" s="115" t="s">
        <v>255</v>
      </c>
      <c r="E4" s="115" t="s">
        <v>281</v>
      </c>
      <c r="F4" s="115" t="s">
        <v>282</v>
      </c>
      <c r="G4" s="135"/>
      <c r="H4" s="135"/>
    </row>
    <row r="5" spans="1:8">
      <c r="A5" s="115" t="s">
        <v>275</v>
      </c>
      <c r="B5" s="164">
        <v>604700</v>
      </c>
      <c r="C5" s="161"/>
      <c r="D5" s="161"/>
      <c r="E5" s="161"/>
      <c r="F5" s="161"/>
      <c r="G5" s="135"/>
      <c r="H5" s="135"/>
    </row>
    <row r="6" spans="1:8">
      <c r="A6" s="115" t="s">
        <v>276</v>
      </c>
      <c r="B6" s="161"/>
      <c r="C6" s="162">
        <f>'2014 -Total expenses'!$C$21</f>
        <v>333994</v>
      </c>
      <c r="D6" s="162" t="s">
        <v>4</v>
      </c>
      <c r="E6" s="162">
        <f>'2014 -Total expenses'!$F$7+SUM('2014 -Total expenses'!$C$22:$C$26)</f>
        <v>70200</v>
      </c>
      <c r="F6" s="162" t="s">
        <v>4</v>
      </c>
      <c r="G6" s="135"/>
      <c r="H6" s="135"/>
    </row>
    <row r="7" spans="1:8">
      <c r="A7" s="115" t="s">
        <v>277</v>
      </c>
      <c r="B7" s="164">
        <v>5406189</v>
      </c>
      <c r="C7" s="162"/>
      <c r="D7" s="162"/>
      <c r="E7" s="162"/>
      <c r="F7" s="162"/>
      <c r="G7" s="135"/>
      <c r="H7" s="135"/>
    </row>
    <row r="8" spans="1:8">
      <c r="A8" s="115" t="s">
        <v>278</v>
      </c>
      <c r="B8" s="161"/>
      <c r="C8" s="162">
        <f>'2014 -Total expenses'!$D$21</f>
        <v>1061057.7318901997</v>
      </c>
      <c r="D8" s="162" t="s">
        <v>4</v>
      </c>
      <c r="E8" s="162">
        <f>'2014 -Total expenses'!$F$10+SUM('2014 -Total expenses'!$D$22:$D$26)</f>
        <v>368341.58417006512</v>
      </c>
      <c r="F8" s="162" t="s">
        <v>4</v>
      </c>
      <c r="G8" s="164"/>
      <c r="H8" s="135"/>
    </row>
    <row r="9" spans="1:8">
      <c r="A9" s="115" t="s">
        <v>279</v>
      </c>
      <c r="B9" s="164">
        <v>17400000</v>
      </c>
      <c r="C9" s="162"/>
      <c r="D9" s="162"/>
      <c r="E9" s="162"/>
      <c r="F9" s="162"/>
      <c r="G9" s="164"/>
      <c r="H9" s="135"/>
    </row>
    <row r="10" spans="1:8">
      <c r="A10" s="115" t="s">
        <v>293</v>
      </c>
      <c r="B10" s="161"/>
      <c r="C10" s="162">
        <f>'2014 -Total expenses'!$E$21</f>
        <v>4986314.79</v>
      </c>
      <c r="D10" s="162">
        <f>'2014 -Total expenses'!$F$21</f>
        <v>8609217.3071428593</v>
      </c>
      <c r="E10" s="162">
        <f>'2014 -Total expenses'!$F$14+SUM('2014 -Total expenses'!$E$22:$E$26)</f>
        <v>1117078.4192552797</v>
      </c>
      <c r="F10" s="162">
        <f>SUM('2014 -Total expenses'!$F$22:$F$26)</f>
        <v>738782.68175973161</v>
      </c>
      <c r="G10" s="164"/>
      <c r="H10" s="135"/>
    </row>
    <row r="11" spans="1:8">
      <c r="A11" s="115" t="s">
        <v>280</v>
      </c>
      <c r="B11" s="162">
        <v>23410889</v>
      </c>
      <c r="C11" s="162"/>
      <c r="D11" s="162"/>
      <c r="E11" s="162"/>
      <c r="F11" s="162"/>
      <c r="G11" s="164"/>
      <c r="H11" s="135"/>
    </row>
    <row r="12" spans="1:8">
      <c r="A12" s="115" t="s">
        <v>269</v>
      </c>
      <c r="B12" s="161"/>
      <c r="C12" s="162">
        <f>SUM(C5:C11)</f>
        <v>6381366.5218901997</v>
      </c>
      <c r="D12" s="162">
        <f t="shared" ref="D12:F12" si="0">SUM(D5:D11)</f>
        <v>8609217.3071428593</v>
      </c>
      <c r="E12" s="162">
        <f t="shared" si="0"/>
        <v>1555620.0034253448</v>
      </c>
      <c r="F12" s="162">
        <f t="shared" si="0"/>
        <v>738782.68175973161</v>
      </c>
      <c r="G12" s="135"/>
      <c r="H12" s="135"/>
    </row>
    <row r="53" spans="3:3">
      <c r="C53" s="182"/>
    </row>
  </sheetData>
  <pageMargins left="0.75" right="0.75" top="1" bottom="1" header="0.5" footer="0.5"/>
  <pageSetup orientation="portrait" horizontalDpi="4294967292" verticalDpi="4294967292"/>
  <drawing r:id="rId1"/>
  <legacyDrawing r:id="rId2"/>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125"/>
  <sheetViews>
    <sheetView topLeftCell="A51" workbookViewId="0">
      <selection activeCell="F81" sqref="F81"/>
    </sheetView>
  </sheetViews>
  <sheetFormatPr baseColWidth="10" defaultColWidth="8.83203125" defaultRowHeight="15" x14ac:dyDescent="0"/>
  <cols>
    <col min="1" max="3" width="8.83203125" style="48"/>
    <col min="4" max="4" width="47.1640625" style="48" customWidth="1"/>
    <col min="5" max="8" width="11.5" style="48" customWidth="1"/>
    <col min="9" max="9" width="11.6640625" style="48" customWidth="1"/>
    <col min="10" max="10" width="10.5" style="48" bestFit="1" customWidth="1"/>
    <col min="11" max="16384" width="8.83203125" style="48"/>
  </cols>
  <sheetData>
    <row r="1" spans="1:17">
      <c r="A1" s="199" t="s">
        <v>300</v>
      </c>
    </row>
    <row r="2" spans="1:17">
      <c r="A2" s="199" t="s">
        <v>299</v>
      </c>
      <c r="D2" s="44" t="s">
        <v>82</v>
      </c>
    </row>
    <row r="3" spans="1:17">
      <c r="D3" s="49" t="s">
        <v>83</v>
      </c>
    </row>
    <row r="4" spans="1:17">
      <c r="D4" s="49" t="s">
        <v>84</v>
      </c>
    </row>
    <row r="5" spans="1:17">
      <c r="D5" s="49" t="s">
        <v>85</v>
      </c>
    </row>
    <row r="6" spans="1:17">
      <c r="D6" s="44"/>
      <c r="L6" s="197" t="s">
        <v>297</v>
      </c>
    </row>
    <row r="7" spans="1:17" s="44" customFormat="1" ht="49" thickBot="1">
      <c r="A7" s="50" t="s">
        <v>65</v>
      </c>
      <c r="B7" s="50" t="s">
        <v>86</v>
      </c>
      <c r="E7" s="51"/>
      <c r="J7" s="52" t="s">
        <v>87</v>
      </c>
      <c r="K7" s="44" t="s">
        <v>68</v>
      </c>
      <c r="L7" s="196" t="s">
        <v>298</v>
      </c>
      <c r="Q7" s="53"/>
    </row>
    <row r="8" spans="1:17" s="54" customFormat="1" ht="14" thickBot="1">
      <c r="D8" s="55" t="s">
        <v>6</v>
      </c>
      <c r="E8" s="56" t="s">
        <v>69</v>
      </c>
      <c r="F8" s="56" t="s">
        <v>70</v>
      </c>
      <c r="G8" s="56" t="s">
        <v>5</v>
      </c>
      <c r="H8" s="57" t="s">
        <v>72</v>
      </c>
      <c r="I8" s="58" t="s">
        <v>73</v>
      </c>
      <c r="J8" s="59"/>
      <c r="Q8" s="60"/>
    </row>
    <row r="9" spans="1:17" s="54" customFormat="1" ht="13">
      <c r="A9" s="54" t="str">
        <f>D8</f>
        <v>Ke-RCT</v>
      </c>
      <c r="B9" s="54">
        <v>538</v>
      </c>
      <c r="D9" s="61" t="s">
        <v>74</v>
      </c>
      <c r="E9" s="62">
        <v>506974.30714408203</v>
      </c>
      <c r="F9" s="62">
        <v>0</v>
      </c>
      <c r="G9" s="62">
        <v>506974.30714408203</v>
      </c>
      <c r="H9" s="63">
        <v>942.33142591836804</v>
      </c>
      <c r="I9" s="64">
        <v>0.91826789245593632</v>
      </c>
      <c r="J9" s="65">
        <v>0.91826789245593632</v>
      </c>
      <c r="K9" s="59">
        <f t="shared" ref="K9:K14" si="0">I9-J9</f>
        <v>0</v>
      </c>
      <c r="O9" s="60"/>
      <c r="Q9" s="60"/>
    </row>
    <row r="10" spans="1:17" s="54" customFormat="1" ht="13">
      <c r="A10" s="54" t="str">
        <f>D8</f>
        <v>Ke-RCT</v>
      </c>
      <c r="B10" s="54">
        <v>538</v>
      </c>
      <c r="D10" s="61" t="s">
        <v>75</v>
      </c>
      <c r="E10" s="62">
        <v>18823.614880181001</v>
      </c>
      <c r="F10" s="62">
        <v>0</v>
      </c>
      <c r="G10" s="62">
        <v>18823.614880181001</v>
      </c>
      <c r="H10" s="63">
        <v>34.98813174754833</v>
      </c>
      <c r="I10" s="64">
        <v>3.4094668942490573E-2</v>
      </c>
      <c r="J10" s="59">
        <v>3.4094668942490573E-2</v>
      </c>
      <c r="K10" s="59">
        <f t="shared" si="0"/>
        <v>0</v>
      </c>
      <c r="O10" s="60"/>
      <c r="Q10" s="60"/>
    </row>
    <row r="11" spans="1:17" s="54" customFormat="1" ht="13">
      <c r="A11" s="54" t="str">
        <f>D8</f>
        <v>Ke-RCT</v>
      </c>
      <c r="B11" s="54">
        <v>538</v>
      </c>
      <c r="D11" s="61" t="s">
        <v>76</v>
      </c>
      <c r="E11" s="62">
        <v>14512.247416375165</v>
      </c>
      <c r="F11" s="62">
        <v>0</v>
      </c>
      <c r="G11" s="62">
        <v>14512.247416375165</v>
      </c>
      <c r="H11" s="63">
        <v>26.974437576905512</v>
      </c>
      <c r="I11" s="64">
        <v>2.6285613811286582E-2</v>
      </c>
      <c r="J11" s="59">
        <v>2.6285613811286582E-2</v>
      </c>
      <c r="K11" s="59">
        <f t="shared" si="0"/>
        <v>0</v>
      </c>
      <c r="L11" s="60"/>
      <c r="M11" s="60"/>
      <c r="N11" s="60"/>
      <c r="O11" s="60"/>
      <c r="Q11" s="60"/>
    </row>
    <row r="12" spans="1:17" s="54" customFormat="1" ht="13">
      <c r="A12" s="54" t="str">
        <f>D8</f>
        <v>Ke-RCT</v>
      </c>
      <c r="B12" s="54">
        <v>538</v>
      </c>
      <c r="D12" s="61" t="s">
        <v>77</v>
      </c>
      <c r="E12" s="62">
        <v>2469.41</v>
      </c>
      <c r="F12" s="62">
        <v>0</v>
      </c>
      <c r="G12" s="62">
        <v>2469.41</v>
      </c>
      <c r="H12" s="63">
        <v>4.5899814126394052</v>
      </c>
      <c r="I12" s="64">
        <v>4.4727708768585927E-3</v>
      </c>
      <c r="J12" s="59">
        <v>4.4727708768585927E-3</v>
      </c>
      <c r="K12" s="59">
        <f t="shared" si="0"/>
        <v>0</v>
      </c>
      <c r="L12" s="60"/>
      <c r="M12" s="60"/>
      <c r="N12" s="60"/>
      <c r="O12" s="60"/>
      <c r="Q12" s="60"/>
    </row>
    <row r="13" spans="1:17" s="54" customFormat="1" ht="13">
      <c r="A13" s="54" t="str">
        <f>D8</f>
        <v>Ke-RCT</v>
      </c>
      <c r="B13" s="54">
        <v>538</v>
      </c>
      <c r="D13" s="61" t="s">
        <v>78</v>
      </c>
      <c r="E13" s="62">
        <v>9181.23</v>
      </c>
      <c r="F13" s="62">
        <v>0</v>
      </c>
      <c r="G13" s="62">
        <v>9181.23</v>
      </c>
      <c r="H13" s="63">
        <v>17.065483271375463</v>
      </c>
      <c r="I13" s="64">
        <v>1.662969622611896E-2</v>
      </c>
      <c r="J13" s="59">
        <v>1.662969622611896E-2</v>
      </c>
      <c r="K13" s="59">
        <f t="shared" si="0"/>
        <v>0</v>
      </c>
      <c r="L13" s="60"/>
      <c r="M13" s="60"/>
      <c r="N13" s="60"/>
      <c r="O13" s="60"/>
      <c r="Q13" s="60"/>
    </row>
    <row r="14" spans="1:17" s="54" customFormat="1" ht="14" thickBot="1">
      <c r="A14" s="54" t="str">
        <f>D8</f>
        <v>Ke-RCT</v>
      </c>
      <c r="B14" s="54">
        <v>538</v>
      </c>
      <c r="D14" s="61" t="s">
        <v>79</v>
      </c>
      <c r="E14" s="62">
        <v>137.66999999999999</v>
      </c>
      <c r="F14" s="62">
        <v>0</v>
      </c>
      <c r="G14" s="62">
        <v>137.66999999999999</v>
      </c>
      <c r="H14" s="63">
        <v>0.25589219330855018</v>
      </c>
      <c r="I14" s="64">
        <v>2.4935768730875897E-4</v>
      </c>
      <c r="J14" s="59">
        <v>2.4935768730875897E-4</v>
      </c>
      <c r="K14" s="59">
        <f t="shared" si="0"/>
        <v>0</v>
      </c>
      <c r="L14" s="188">
        <f>E15/G15</f>
        <v>1</v>
      </c>
      <c r="M14" s="60"/>
      <c r="N14" s="60"/>
      <c r="O14" s="60"/>
      <c r="Q14" s="60"/>
    </row>
    <row r="15" spans="1:17" s="54" customFormat="1" thickTop="1" thickBot="1">
      <c r="D15" s="66" t="s">
        <v>80</v>
      </c>
      <c r="E15" s="67">
        <v>552098.47944063833</v>
      </c>
      <c r="F15" s="67">
        <v>0</v>
      </c>
      <c r="G15" s="67">
        <v>552098.47944063833</v>
      </c>
      <c r="H15" s="68">
        <v>1026.2053521201453</v>
      </c>
      <c r="I15" s="69">
        <v>0.99999999999999978</v>
      </c>
      <c r="J15" s="59"/>
      <c r="K15" s="59"/>
      <c r="L15" s="189"/>
      <c r="M15" s="60"/>
      <c r="N15" s="60"/>
      <c r="O15" s="60"/>
      <c r="Q15" s="60"/>
    </row>
    <row r="16" spans="1:17" s="54" customFormat="1" ht="14" thickBot="1">
      <c r="H16" s="70"/>
      <c r="J16" s="59"/>
      <c r="K16" s="59"/>
      <c r="L16" s="189"/>
      <c r="M16" s="60"/>
      <c r="N16" s="60"/>
      <c r="O16" s="60"/>
      <c r="Q16" s="60"/>
    </row>
    <row r="17" spans="1:17" s="54" customFormat="1" ht="14" thickBot="1">
      <c r="D17" s="55" t="s">
        <v>7</v>
      </c>
      <c r="E17" s="56" t="s">
        <v>69</v>
      </c>
      <c r="F17" s="56" t="s">
        <v>70</v>
      </c>
      <c r="G17" s="56" t="s">
        <v>71</v>
      </c>
      <c r="H17" s="71" t="s">
        <v>72</v>
      </c>
      <c r="I17" s="58" t="s">
        <v>73</v>
      </c>
      <c r="J17" s="59"/>
      <c r="K17" s="59"/>
      <c r="L17" s="189"/>
      <c r="M17" s="60"/>
      <c r="N17" s="60"/>
      <c r="O17" s="60"/>
      <c r="Q17" s="60"/>
    </row>
    <row r="18" spans="1:17" s="54" customFormat="1" ht="13">
      <c r="A18" s="54" t="str">
        <f>D17</f>
        <v>Ke-200K</v>
      </c>
      <c r="B18" s="54">
        <v>199</v>
      </c>
      <c r="D18" s="61" t="s">
        <v>74</v>
      </c>
      <c r="E18" s="62">
        <v>191846.71625001577</v>
      </c>
      <c r="F18" s="62">
        <v>0</v>
      </c>
      <c r="G18" s="62">
        <v>191846.71625001577</v>
      </c>
      <c r="H18" s="63">
        <v>964.05385050259179</v>
      </c>
      <c r="I18" s="64">
        <v>0.92478673369384568</v>
      </c>
      <c r="J18" s="65">
        <v>0.92478673369384568</v>
      </c>
      <c r="K18" s="59">
        <f t="shared" ref="K18:K23" si="1">I18-J18</f>
        <v>0</v>
      </c>
      <c r="L18" s="189"/>
      <c r="M18" s="60"/>
      <c r="N18" s="60"/>
      <c r="O18" s="60"/>
      <c r="Q18" s="60"/>
    </row>
    <row r="19" spans="1:17" s="54" customFormat="1" ht="13">
      <c r="A19" s="54" t="str">
        <f>D17</f>
        <v>Ke-200K</v>
      </c>
      <c r="B19" s="54">
        <v>199</v>
      </c>
      <c r="D19" s="61" t="s">
        <v>75</v>
      </c>
      <c r="E19" s="62">
        <v>4531.2584683002315</v>
      </c>
      <c r="F19" s="62">
        <v>0</v>
      </c>
      <c r="G19" s="62">
        <v>4531.2584683002315</v>
      </c>
      <c r="H19" s="63">
        <v>22.770143056785084</v>
      </c>
      <c r="I19" s="64">
        <v>2.1842686704946948E-2</v>
      </c>
      <c r="J19" s="59">
        <v>2.1842686704946948E-2</v>
      </c>
      <c r="K19" s="59">
        <f t="shared" si="1"/>
        <v>0</v>
      </c>
      <c r="L19" s="189"/>
      <c r="M19" s="60"/>
      <c r="N19" s="60"/>
      <c r="O19" s="60"/>
      <c r="Q19" s="60"/>
    </row>
    <row r="20" spans="1:17" s="54" customFormat="1" ht="13">
      <c r="A20" s="54" t="str">
        <f>D17</f>
        <v>Ke-200K</v>
      </c>
      <c r="B20" s="54">
        <v>199</v>
      </c>
      <c r="D20" s="61" t="s">
        <v>76</v>
      </c>
      <c r="E20" s="62">
        <v>2410.9199065148605</v>
      </c>
      <c r="F20" s="62">
        <v>0</v>
      </c>
      <c r="G20" s="62">
        <v>2410.9199065148605</v>
      </c>
      <c r="H20" s="63">
        <v>12.115175409622415</v>
      </c>
      <c r="I20" s="64">
        <v>1.1621709191194802E-2</v>
      </c>
      <c r="J20" s="59">
        <v>1.1621709191194802E-2</v>
      </c>
      <c r="K20" s="59">
        <f t="shared" si="1"/>
        <v>0</v>
      </c>
      <c r="L20" s="189"/>
      <c r="M20" s="60"/>
      <c r="N20" s="60"/>
      <c r="O20" s="60"/>
      <c r="Q20" s="60"/>
    </row>
    <row r="21" spans="1:17" s="54" customFormat="1" ht="13">
      <c r="A21" s="54" t="str">
        <f>D17</f>
        <v>Ke-200K</v>
      </c>
      <c r="B21" s="54">
        <v>199</v>
      </c>
      <c r="D21" s="61" t="s">
        <v>77</v>
      </c>
      <c r="E21" s="62">
        <v>744.7</v>
      </c>
      <c r="F21" s="62">
        <v>0</v>
      </c>
      <c r="G21" s="62">
        <v>744.7</v>
      </c>
      <c r="H21" s="63">
        <v>3.7422110552763823</v>
      </c>
      <c r="I21" s="64">
        <v>3.5897861274013353E-3</v>
      </c>
      <c r="J21" s="59">
        <v>3.5897861274013353E-3</v>
      </c>
      <c r="K21" s="59">
        <f t="shared" si="1"/>
        <v>0</v>
      </c>
      <c r="L21" s="189"/>
      <c r="M21" s="60"/>
      <c r="N21" s="60"/>
      <c r="O21" s="60"/>
      <c r="Q21" s="60"/>
    </row>
    <row r="22" spans="1:17" s="54" customFormat="1" ht="13">
      <c r="A22" s="54" t="str">
        <f>D17</f>
        <v>Ke-200K</v>
      </c>
      <c r="B22" s="54">
        <v>199</v>
      </c>
      <c r="D22" s="61" t="s">
        <v>78</v>
      </c>
      <c r="E22" s="62">
        <v>7909.39</v>
      </c>
      <c r="F22" s="62">
        <v>0</v>
      </c>
      <c r="G22" s="62">
        <v>7909.39</v>
      </c>
      <c r="H22" s="63">
        <v>39.7456783919598</v>
      </c>
      <c r="I22" s="64">
        <v>3.8126787294490191E-2</v>
      </c>
      <c r="J22" s="59">
        <v>3.8126787294490191E-2</v>
      </c>
      <c r="K22" s="59">
        <f t="shared" si="1"/>
        <v>0</v>
      </c>
      <c r="L22" s="189"/>
      <c r="M22" s="60"/>
      <c r="N22" s="60"/>
      <c r="O22" s="60"/>
      <c r="Q22" s="60"/>
    </row>
    <row r="23" spans="1:17" s="54" customFormat="1" ht="14" thickBot="1">
      <c r="A23" s="54" t="str">
        <f>D17</f>
        <v>Ke-200K</v>
      </c>
      <c r="B23" s="54">
        <v>199</v>
      </c>
      <c r="D23" s="61" t="s">
        <v>79</v>
      </c>
      <c r="E23" s="62">
        <v>6.7</v>
      </c>
      <c r="F23" s="62">
        <v>0</v>
      </c>
      <c r="G23" s="62">
        <v>6.7</v>
      </c>
      <c r="H23" s="63">
        <v>3.3668341708542715E-2</v>
      </c>
      <c r="I23" s="64">
        <v>3.229698812083919E-5</v>
      </c>
      <c r="J23" s="59">
        <v>3.229698812083919E-5</v>
      </c>
      <c r="K23" s="59">
        <f t="shared" si="1"/>
        <v>0</v>
      </c>
      <c r="L23" s="188">
        <f>E24/G24</f>
        <v>1</v>
      </c>
      <c r="M23" s="60"/>
      <c r="N23" s="60"/>
      <c r="O23" s="60"/>
      <c r="Q23" s="60"/>
    </row>
    <row r="24" spans="1:17" s="54" customFormat="1" thickTop="1" thickBot="1">
      <c r="D24" s="66" t="s">
        <v>80</v>
      </c>
      <c r="E24" s="67">
        <v>207449.6846248309</v>
      </c>
      <c r="F24" s="67">
        <v>0</v>
      </c>
      <c r="G24" s="67">
        <v>207449.6846248309</v>
      </c>
      <c r="H24" s="72"/>
      <c r="I24" s="69">
        <v>0.99999999999999967</v>
      </c>
      <c r="J24" s="59"/>
      <c r="K24" s="59"/>
      <c r="L24" s="190"/>
      <c r="O24" s="60"/>
      <c r="Q24" s="60"/>
    </row>
    <row r="25" spans="1:17" s="54" customFormat="1" ht="14" thickBot="1">
      <c r="H25" s="70"/>
      <c r="J25" s="59"/>
      <c r="K25" s="59"/>
      <c r="L25" s="191"/>
      <c r="Q25" s="60"/>
    </row>
    <row r="26" spans="1:17" s="54" customFormat="1" ht="14" thickBot="1">
      <c r="D26" s="55" t="s">
        <v>8</v>
      </c>
      <c r="E26" s="56" t="s">
        <v>69</v>
      </c>
      <c r="F26" s="56" t="s">
        <v>70</v>
      </c>
      <c r="G26" s="56" t="s">
        <v>71</v>
      </c>
      <c r="H26" s="71" t="s">
        <v>72</v>
      </c>
      <c r="I26" s="58" t="s">
        <v>73</v>
      </c>
      <c r="J26" s="59"/>
      <c r="K26" s="59"/>
      <c r="L26" s="191"/>
      <c r="Q26" s="60"/>
    </row>
    <row r="27" spans="1:17" s="54" customFormat="1" ht="13">
      <c r="A27" s="54" t="str">
        <f>D26</f>
        <v>Ke-Nike</v>
      </c>
      <c r="B27" s="54">
        <v>77</v>
      </c>
      <c r="D27" s="61" t="s">
        <v>74</v>
      </c>
      <c r="E27" s="62">
        <v>66175.638496101776</v>
      </c>
      <c r="F27" s="62">
        <v>0</v>
      </c>
      <c r="G27" s="62">
        <v>66175.638496101776</v>
      </c>
      <c r="H27" s="63">
        <v>859.42387657275037</v>
      </c>
      <c r="I27" s="64">
        <v>0.79178378302327312</v>
      </c>
      <c r="J27" s="65">
        <v>0.79178378302327312</v>
      </c>
      <c r="K27" s="59">
        <f t="shared" ref="K27:K32" si="2">I27-J27</f>
        <v>0</v>
      </c>
      <c r="L27" s="192"/>
      <c r="O27" s="60"/>
      <c r="Q27" s="60"/>
    </row>
    <row r="28" spans="1:17" s="54" customFormat="1" ht="13">
      <c r="A28" s="54" t="str">
        <f>D26</f>
        <v>Ke-Nike</v>
      </c>
      <c r="B28" s="54">
        <v>77</v>
      </c>
      <c r="D28" s="61" t="s">
        <v>75</v>
      </c>
      <c r="E28" s="62">
        <v>6508.4066515187797</v>
      </c>
      <c r="F28" s="62">
        <v>0</v>
      </c>
      <c r="G28" s="62">
        <v>6508.4066515187797</v>
      </c>
      <c r="H28" s="63">
        <v>84.524761708036095</v>
      </c>
      <c r="I28" s="64">
        <v>7.7872325180465565E-2</v>
      </c>
      <c r="J28" s="59">
        <v>7.7872325180465565E-2</v>
      </c>
      <c r="K28" s="59">
        <f t="shared" si="2"/>
        <v>0</v>
      </c>
      <c r="L28" s="189"/>
      <c r="O28" s="60"/>
      <c r="Q28" s="60"/>
    </row>
    <row r="29" spans="1:17" s="54" customFormat="1" ht="13">
      <c r="A29" s="54" t="str">
        <f>D26</f>
        <v>Ke-Nike</v>
      </c>
      <c r="B29" s="54">
        <v>77</v>
      </c>
      <c r="D29" s="61" t="s">
        <v>76</v>
      </c>
      <c r="E29" s="62">
        <v>3812.2308377547947</v>
      </c>
      <c r="F29" s="62">
        <v>0</v>
      </c>
      <c r="G29" s="62">
        <v>3812.2308377547947</v>
      </c>
      <c r="H29" s="63">
        <v>49.509491399412916</v>
      </c>
      <c r="I29" s="64">
        <v>4.5612896574519377E-2</v>
      </c>
      <c r="J29" s="59">
        <v>4.5612896574519377E-2</v>
      </c>
      <c r="K29" s="59">
        <f t="shared" si="2"/>
        <v>0</v>
      </c>
      <c r="L29" s="189"/>
      <c r="O29" s="60"/>
      <c r="Q29" s="60"/>
    </row>
    <row r="30" spans="1:17" s="54" customFormat="1" ht="13">
      <c r="A30" s="54" t="str">
        <f>D26</f>
        <v>Ke-Nike</v>
      </c>
      <c r="B30" s="54">
        <v>77</v>
      </c>
      <c r="D30" s="61" t="s">
        <v>77</v>
      </c>
      <c r="E30" s="62">
        <v>705.12</v>
      </c>
      <c r="F30" s="62">
        <v>0</v>
      </c>
      <c r="G30" s="62">
        <v>705.12</v>
      </c>
      <c r="H30" s="63">
        <v>9.1574025974025979</v>
      </c>
      <c r="I30" s="64">
        <v>8.4366784178177348E-3</v>
      </c>
      <c r="J30" s="59">
        <v>8.4366784178177348E-3</v>
      </c>
      <c r="K30" s="59">
        <f t="shared" si="2"/>
        <v>0</v>
      </c>
      <c r="L30" s="189"/>
      <c r="O30" s="60"/>
      <c r="Q30" s="60"/>
    </row>
    <row r="31" spans="1:17" s="54" customFormat="1" ht="13">
      <c r="A31" s="54" t="str">
        <f>D26</f>
        <v>Ke-Nike</v>
      </c>
      <c r="B31" s="54">
        <v>77</v>
      </c>
      <c r="D31" s="61" t="s">
        <v>78</v>
      </c>
      <c r="E31" s="62">
        <v>6296.16</v>
      </c>
      <c r="F31" s="62">
        <v>0</v>
      </c>
      <c r="G31" s="62">
        <v>6296.16</v>
      </c>
      <c r="H31" s="63">
        <v>81.768311688311684</v>
      </c>
      <c r="I31" s="64">
        <v>7.5332818792726505E-2</v>
      </c>
      <c r="J31" s="59">
        <v>7.5332818792726505E-2</v>
      </c>
      <c r="K31" s="59">
        <f t="shared" si="2"/>
        <v>0</v>
      </c>
      <c r="L31" s="189"/>
      <c r="O31" s="60"/>
      <c r="Q31" s="60"/>
    </row>
    <row r="32" spans="1:17" s="54" customFormat="1" ht="14" thickBot="1">
      <c r="A32" s="54" t="str">
        <f>D26</f>
        <v>Ke-Nike</v>
      </c>
      <c r="B32" s="54">
        <v>77</v>
      </c>
      <c r="D32" s="61" t="s">
        <v>79</v>
      </c>
      <c r="E32" s="62">
        <v>80.360000000000127</v>
      </c>
      <c r="F32" s="62">
        <v>0</v>
      </c>
      <c r="G32" s="62">
        <v>80.360000000000127</v>
      </c>
      <c r="H32" s="63">
        <v>1.0436363636363652</v>
      </c>
      <c r="I32" s="64">
        <v>9.6149801119785891E-4</v>
      </c>
      <c r="J32" s="59">
        <v>9.6149801119785891E-4</v>
      </c>
      <c r="K32" s="59">
        <f t="shared" si="2"/>
        <v>0</v>
      </c>
      <c r="L32" s="188">
        <f>E33/G33</f>
        <v>1</v>
      </c>
      <c r="O32" s="60"/>
      <c r="Q32" s="60"/>
    </row>
    <row r="33" spans="1:17" s="54" customFormat="1" thickTop="1" thickBot="1">
      <c r="D33" s="66" t="s">
        <v>80</v>
      </c>
      <c r="E33" s="67">
        <v>83577.915985375337</v>
      </c>
      <c r="F33" s="67">
        <v>0</v>
      </c>
      <c r="G33" s="67">
        <v>83577.915985375337</v>
      </c>
      <c r="H33" s="72"/>
      <c r="I33" s="69">
        <v>1.0000000000000002</v>
      </c>
      <c r="J33" s="59"/>
      <c r="K33" s="59"/>
      <c r="L33" s="189"/>
      <c r="O33" s="60"/>
      <c r="Q33" s="60"/>
    </row>
    <row r="34" spans="1:17" s="44" customFormat="1" ht="14" thickBot="1">
      <c r="H34" s="51"/>
      <c r="I34" s="45"/>
      <c r="J34" s="73"/>
      <c r="K34" s="74"/>
      <c r="L34" s="189"/>
      <c r="Q34" s="53"/>
    </row>
    <row r="35" spans="1:17" s="44" customFormat="1" ht="14" thickBot="1">
      <c r="D35" s="27" t="s">
        <v>9</v>
      </c>
      <c r="E35" s="28" t="s">
        <v>69</v>
      </c>
      <c r="F35" s="28" t="s">
        <v>70</v>
      </c>
      <c r="G35" s="28" t="s">
        <v>71</v>
      </c>
      <c r="H35" s="75" t="s">
        <v>72</v>
      </c>
      <c r="I35" s="30" t="s">
        <v>73</v>
      </c>
      <c r="J35" s="73"/>
      <c r="K35" s="74"/>
      <c r="L35" s="189"/>
      <c r="Q35" s="53"/>
    </row>
    <row r="36" spans="1:17" s="44" customFormat="1" ht="13">
      <c r="A36" s="44" t="str">
        <f>D35</f>
        <v>Ke-Google</v>
      </c>
      <c r="B36" s="44">
        <v>861</v>
      </c>
      <c r="D36" s="33" t="s">
        <v>74</v>
      </c>
      <c r="E36" s="34">
        <v>857733.63</v>
      </c>
      <c r="F36" s="34">
        <v>8645.48</v>
      </c>
      <c r="G36" s="34">
        <v>866379.11</v>
      </c>
      <c r="H36" s="36">
        <v>1006.2475145180023</v>
      </c>
      <c r="I36" s="37">
        <v>0.89976811437956883</v>
      </c>
      <c r="J36" s="76">
        <v>0.89782543269364001</v>
      </c>
      <c r="K36" s="77">
        <f t="shared" ref="K36:K41" si="3">I36-J36</f>
        <v>1.9426816859288154E-3</v>
      </c>
      <c r="L36" s="189"/>
      <c r="Q36" s="53"/>
    </row>
    <row r="37" spans="1:17" s="44" customFormat="1" ht="13">
      <c r="A37" s="44" t="str">
        <f>D35</f>
        <v>Ke-Google</v>
      </c>
      <c r="B37" s="44">
        <v>861</v>
      </c>
      <c r="D37" s="33" t="s">
        <v>75</v>
      </c>
      <c r="E37" s="34">
        <v>20225.61</v>
      </c>
      <c r="F37" s="34">
        <v>0</v>
      </c>
      <c r="G37" s="34">
        <v>20225.61</v>
      </c>
      <c r="H37" s="36">
        <v>23.490836236933799</v>
      </c>
      <c r="I37" s="37">
        <v>2.1005075909409393E-2</v>
      </c>
      <c r="J37" s="76">
        <v>2.1052415939555237E-2</v>
      </c>
      <c r="K37" s="77">
        <f t="shared" si="3"/>
        <v>-4.7340030145844036E-5</v>
      </c>
      <c r="L37" s="189"/>
      <c r="Q37" s="53"/>
    </row>
    <row r="38" spans="1:17" s="44" customFormat="1" ht="13">
      <c r="A38" s="44" t="str">
        <f>D35</f>
        <v>Ke-Google</v>
      </c>
      <c r="B38" s="44">
        <v>861</v>
      </c>
      <c r="D38" s="33" t="s">
        <v>76</v>
      </c>
      <c r="E38" s="34">
        <v>21354.495328267712</v>
      </c>
      <c r="F38" s="34">
        <v>3814.5899999999997</v>
      </c>
      <c r="G38" s="34">
        <v>25169.085328267713</v>
      </c>
      <c r="H38" s="36">
        <v>29.232387140845194</v>
      </c>
      <c r="I38" s="37">
        <v>2.613906566430706E-2</v>
      </c>
      <c r="J38" s="76">
        <v>2.5923017746028731E-2</v>
      </c>
      <c r="K38" s="77">
        <f t="shared" si="3"/>
        <v>2.1604791827832884E-4</v>
      </c>
      <c r="L38" s="189"/>
      <c r="Q38" s="53"/>
    </row>
    <row r="39" spans="1:17" s="44" customFormat="1" ht="13">
      <c r="A39" s="44" t="str">
        <f>D35</f>
        <v>Ke-Google</v>
      </c>
      <c r="B39" s="44">
        <v>861</v>
      </c>
      <c r="D39" s="33" t="s">
        <v>77</v>
      </c>
      <c r="E39" s="34">
        <v>5108.29</v>
      </c>
      <c r="F39" s="34">
        <v>0</v>
      </c>
      <c r="G39" s="34">
        <v>5108.29</v>
      </c>
      <c r="H39" s="36">
        <v>5.9329732868757254</v>
      </c>
      <c r="I39" s="37">
        <v>5.3051561469481959E-3</v>
      </c>
      <c r="J39" s="76">
        <v>5.3171126022834719E-3</v>
      </c>
      <c r="K39" s="77">
        <f t="shared" si="3"/>
        <v>-1.1956455335276027E-5</v>
      </c>
      <c r="L39" s="189"/>
      <c r="Q39" s="53"/>
    </row>
    <row r="40" spans="1:17" s="44" customFormat="1" ht="13">
      <c r="A40" s="44" t="str">
        <f>D35</f>
        <v>Ke-Google</v>
      </c>
      <c r="B40" s="44">
        <v>861</v>
      </c>
      <c r="D40" s="33" t="s">
        <v>78</v>
      </c>
      <c r="E40" s="34">
        <v>45083.93</v>
      </c>
      <c r="F40" s="34">
        <v>463.22989770192436</v>
      </c>
      <c r="G40" s="34">
        <v>45547.159897701924</v>
      </c>
      <c r="H40" s="36">
        <v>52.90030185563522</v>
      </c>
      <c r="I40" s="37">
        <v>4.7302481908295287E-2</v>
      </c>
      <c r="J40" s="76">
        <v>4.9410908702057908E-2</v>
      </c>
      <c r="K40" s="77">
        <f t="shared" si="3"/>
        <v>-2.1084267937626217E-3</v>
      </c>
      <c r="L40" s="189"/>
      <c r="Q40" s="53"/>
    </row>
    <row r="41" spans="1:17" s="44" customFormat="1" ht="14" thickBot="1">
      <c r="A41" s="44" t="str">
        <f>D35</f>
        <v>Ke-Google</v>
      </c>
      <c r="B41" s="44">
        <v>861</v>
      </c>
      <c r="D41" s="33" t="s">
        <v>79</v>
      </c>
      <c r="E41" s="34">
        <v>462.29</v>
      </c>
      <c r="F41" s="34">
        <v>0</v>
      </c>
      <c r="G41" s="34">
        <v>462.29</v>
      </c>
      <c r="H41" s="36">
        <v>0.53692218350754939</v>
      </c>
      <c r="I41" s="37">
        <v>4.8010599147125198E-4</v>
      </c>
      <c r="J41" s="76">
        <v>4.7111231643456468E-4</v>
      </c>
      <c r="K41" s="77">
        <f t="shared" si="3"/>
        <v>8.9936750366873008E-6</v>
      </c>
      <c r="L41" s="188">
        <f>E42/G42</f>
        <v>0.98657865471789041</v>
      </c>
      <c r="Q41" s="53"/>
    </row>
    <row r="42" spans="1:17" s="44" customFormat="1" thickTop="1" thickBot="1">
      <c r="D42" s="40" t="s">
        <v>80</v>
      </c>
      <c r="E42" s="41">
        <v>949968.2453282678</v>
      </c>
      <c r="F42" s="41">
        <v>12923.299897701923</v>
      </c>
      <c r="G42" s="41">
        <v>962891.54522596963</v>
      </c>
      <c r="H42" s="78">
        <v>1118.3409352218</v>
      </c>
      <c r="I42" s="43">
        <v>1</v>
      </c>
      <c r="J42" s="73"/>
      <c r="K42" s="77"/>
      <c r="L42" s="189"/>
      <c r="Q42" s="53"/>
    </row>
    <row r="43" spans="1:17" s="44" customFormat="1" ht="14" thickBot="1">
      <c r="H43" s="51"/>
      <c r="I43" s="45"/>
      <c r="J43" s="73"/>
      <c r="K43" s="74"/>
      <c r="L43" s="189"/>
      <c r="Q43" s="53"/>
    </row>
    <row r="44" spans="1:17" s="44" customFormat="1" ht="14" thickBot="1">
      <c r="D44" s="27" t="s">
        <v>10</v>
      </c>
      <c r="E44" s="28" t="s">
        <v>69</v>
      </c>
      <c r="F44" s="28" t="s">
        <v>70</v>
      </c>
      <c r="G44" s="28" t="s">
        <v>71</v>
      </c>
      <c r="H44" s="75" t="s">
        <v>72</v>
      </c>
      <c r="I44" s="30" t="s">
        <v>73</v>
      </c>
      <c r="J44" s="73"/>
      <c r="K44" s="74"/>
      <c r="L44" s="189"/>
      <c r="Q44" s="53"/>
    </row>
    <row r="45" spans="1:17" s="44" customFormat="1" ht="13">
      <c r="A45" s="44" t="str">
        <f>D44</f>
        <v>Ke-201307</v>
      </c>
      <c r="B45" s="44">
        <v>2055</v>
      </c>
      <c r="D45" s="33" t="s">
        <v>74</v>
      </c>
      <c r="E45" s="34">
        <v>2010113.21</v>
      </c>
      <c r="F45" s="34">
        <v>87499.62</v>
      </c>
      <c r="G45" s="34">
        <v>2097612.83</v>
      </c>
      <c r="H45" s="36">
        <v>1020.7361703163017</v>
      </c>
      <c r="I45" s="37">
        <v>0.90805202834051268</v>
      </c>
      <c r="J45" s="79">
        <v>0.92790642754637265</v>
      </c>
      <c r="K45" s="74">
        <f t="shared" ref="K45:K50" si="4">I45-J45</f>
        <v>-1.9854399205859963E-2</v>
      </c>
      <c r="L45" s="193"/>
      <c r="M45" s="80"/>
      <c r="Q45" s="53"/>
    </row>
    <row r="46" spans="1:17" s="44" customFormat="1" ht="13">
      <c r="A46" s="44" t="str">
        <f>D44</f>
        <v>Ke-201307</v>
      </c>
      <c r="B46" s="44">
        <v>2055</v>
      </c>
      <c r="D46" s="33" t="s">
        <v>75</v>
      </c>
      <c r="E46" s="34">
        <v>37412.03</v>
      </c>
      <c r="F46" s="34">
        <v>0</v>
      </c>
      <c r="G46" s="34">
        <v>37412.03</v>
      </c>
      <c r="H46" s="36">
        <v>18.205367396593672</v>
      </c>
      <c r="I46" s="37">
        <v>1.6195586354149114E-2</v>
      </c>
      <c r="J46" s="73">
        <v>1.5510033180886224E-2</v>
      </c>
      <c r="K46" s="74">
        <f t="shared" si="4"/>
        <v>6.8555317326289035E-4</v>
      </c>
      <c r="L46" s="193"/>
      <c r="M46" s="80"/>
      <c r="Q46" s="53"/>
    </row>
    <row r="47" spans="1:17" s="44" customFormat="1" ht="13">
      <c r="A47" s="44" t="str">
        <f>D44</f>
        <v>Ke-201307</v>
      </c>
      <c r="B47" s="44">
        <v>2055</v>
      </c>
      <c r="D47" s="33" t="s">
        <v>76</v>
      </c>
      <c r="E47" s="34">
        <v>75246.60388136188</v>
      </c>
      <c r="F47" s="34">
        <v>0</v>
      </c>
      <c r="G47" s="34">
        <v>75246.60388136188</v>
      </c>
      <c r="H47" s="36">
        <v>36.616352253704079</v>
      </c>
      <c r="I47" s="37">
        <v>3.2574091034810147E-2</v>
      </c>
      <c r="J47" s="73">
        <v>1.6283595372922767E-2</v>
      </c>
      <c r="K47" s="74">
        <f t="shared" si="4"/>
        <v>1.629049566188738E-2</v>
      </c>
      <c r="L47" s="193"/>
      <c r="M47" s="80"/>
      <c r="Q47" s="53"/>
    </row>
    <row r="48" spans="1:17" s="44" customFormat="1" ht="13">
      <c r="A48" s="44" t="str">
        <f>D44</f>
        <v>Ke-201307</v>
      </c>
      <c r="B48" s="44">
        <v>2055</v>
      </c>
      <c r="D48" s="33" t="s">
        <v>77</v>
      </c>
      <c r="E48" s="34">
        <v>4299.04</v>
      </c>
      <c r="F48" s="34">
        <v>0</v>
      </c>
      <c r="G48" s="34">
        <v>4299.04</v>
      </c>
      <c r="H48" s="36">
        <v>2.0919902676399027</v>
      </c>
      <c r="I48" s="37">
        <v>1.8610450584996647E-3</v>
      </c>
      <c r="J48" s="73">
        <v>1.4936295246280029E-3</v>
      </c>
      <c r="K48" s="74">
        <f t="shared" si="4"/>
        <v>3.6741553387166178E-4</v>
      </c>
      <c r="L48" s="193"/>
      <c r="M48" s="80"/>
      <c r="Q48" s="53"/>
    </row>
    <row r="49" spans="1:17" s="44" customFormat="1" ht="13">
      <c r="A49" s="44" t="str">
        <f>D44</f>
        <v>Ke-201307</v>
      </c>
      <c r="B49" s="44">
        <v>2055</v>
      </c>
      <c r="D49" s="33" t="s">
        <v>78</v>
      </c>
      <c r="E49" s="34">
        <v>79525.56</v>
      </c>
      <c r="F49" s="34">
        <v>9910.8715938104106</v>
      </c>
      <c r="G49" s="34">
        <v>89436.431593810412</v>
      </c>
      <c r="H49" s="36">
        <v>43.521377904530617</v>
      </c>
      <c r="I49" s="37">
        <v>3.8716836565257401E-2</v>
      </c>
      <c r="J49" s="73">
        <v>3.7262319250314507E-2</v>
      </c>
      <c r="K49" s="74">
        <f t="shared" si="4"/>
        <v>1.4545173149428936E-3</v>
      </c>
      <c r="L49" s="193"/>
      <c r="M49" s="80"/>
      <c r="Q49" s="53"/>
    </row>
    <row r="50" spans="1:17" s="44" customFormat="1" ht="14" thickBot="1">
      <c r="A50" s="44" t="str">
        <f>D44</f>
        <v>Ke-201307</v>
      </c>
      <c r="B50" s="44">
        <v>2055</v>
      </c>
      <c r="D50" s="33" t="s">
        <v>79</v>
      </c>
      <c r="E50" s="34">
        <v>3602.84</v>
      </c>
      <c r="F50" s="34">
        <v>2404.1494245267659</v>
      </c>
      <c r="G50" s="34">
        <v>6006.989424526766</v>
      </c>
      <c r="H50" s="36">
        <v>2.923109209015458</v>
      </c>
      <c r="I50" s="37">
        <v>2.6004126467712055E-3</v>
      </c>
      <c r="J50" s="73">
        <v>1.5439951248758885E-3</v>
      </c>
      <c r="K50" s="74">
        <f t="shared" si="4"/>
        <v>1.0564175218953169E-3</v>
      </c>
      <c r="L50" s="188">
        <f>E51/G51</f>
        <v>0.95679045916458227</v>
      </c>
      <c r="M50" s="80"/>
      <c r="Q50" s="53"/>
    </row>
    <row r="51" spans="1:17" s="44" customFormat="1" thickTop="1" thickBot="1">
      <c r="D51" s="40" t="s">
        <v>80</v>
      </c>
      <c r="E51" s="41">
        <v>2210199.2838813616</v>
      </c>
      <c r="F51" s="41">
        <v>99814.641018337177</v>
      </c>
      <c r="G51" s="41">
        <v>2310013.9248996987</v>
      </c>
      <c r="H51" s="78">
        <v>1124.0943673477852</v>
      </c>
      <c r="I51" s="43">
        <v>1.0000000000000002</v>
      </c>
      <c r="J51" s="73"/>
      <c r="K51" s="74"/>
      <c r="L51" s="193"/>
      <c r="M51" s="80"/>
      <c r="Q51" s="53"/>
    </row>
    <row r="52" spans="1:17" s="44" customFormat="1" ht="14" thickBot="1">
      <c r="H52" s="51"/>
      <c r="I52" s="45"/>
      <c r="J52" s="73"/>
      <c r="K52" s="74"/>
      <c r="L52" s="189"/>
      <c r="Q52" s="53"/>
    </row>
    <row r="53" spans="1:17" s="44" customFormat="1" ht="14" thickBot="1">
      <c r="D53" s="27" t="s">
        <v>11</v>
      </c>
      <c r="E53" s="28" t="s">
        <v>69</v>
      </c>
      <c r="F53" s="28" t="s">
        <v>70</v>
      </c>
      <c r="G53" s="28" t="s">
        <v>71</v>
      </c>
      <c r="H53" s="75" t="s">
        <v>72</v>
      </c>
      <c r="I53" s="30" t="s">
        <v>73</v>
      </c>
      <c r="J53" s="73"/>
      <c r="K53" s="74"/>
      <c r="L53" s="189"/>
      <c r="Q53" s="53"/>
    </row>
    <row r="54" spans="1:17" s="44" customFormat="1" ht="13">
      <c r="A54" s="44" t="str">
        <f>D53</f>
        <v>Ke-201311</v>
      </c>
      <c r="B54" s="44">
        <v>1200</v>
      </c>
      <c r="D54" s="33" t="s">
        <v>74</v>
      </c>
      <c r="E54" s="81">
        <v>639383.72</v>
      </c>
      <c r="F54" s="34">
        <v>538589.56999999995</v>
      </c>
      <c r="G54" s="35">
        <v>1177973.29</v>
      </c>
      <c r="H54" s="36">
        <v>981.64440833333333</v>
      </c>
      <c r="I54" s="37">
        <v>0.90616285954759479</v>
      </c>
      <c r="J54" s="73">
        <v>0.92135333292587107</v>
      </c>
      <c r="K54" s="77">
        <f t="shared" ref="K54:K59" si="5">I54-J54</f>
        <v>-1.5190473378276281E-2</v>
      </c>
      <c r="L54" s="189"/>
      <c r="Q54" s="53"/>
    </row>
    <row r="55" spans="1:17" s="44" customFormat="1" ht="13">
      <c r="A55" s="44" t="str">
        <f>D53</f>
        <v>Ke-201311</v>
      </c>
      <c r="B55" s="44">
        <v>1200</v>
      </c>
      <c r="D55" s="33" t="s">
        <v>75</v>
      </c>
      <c r="E55" s="81">
        <v>25128.33</v>
      </c>
      <c r="F55" s="34">
        <v>0</v>
      </c>
      <c r="G55" s="35">
        <v>25128.33</v>
      </c>
      <c r="H55" s="36">
        <v>20.940275</v>
      </c>
      <c r="I55" s="37">
        <v>1.9330115174729993E-2</v>
      </c>
      <c r="J55" s="73">
        <v>1.948452984337759E-2</v>
      </c>
      <c r="K55" s="77">
        <f t="shared" si="5"/>
        <v>-1.5441466864759765E-4</v>
      </c>
      <c r="L55" s="189"/>
      <c r="Q55" s="53"/>
    </row>
    <row r="56" spans="1:17" s="44" customFormat="1" ht="13">
      <c r="A56" s="44" t="str">
        <f>D53</f>
        <v>Ke-201311</v>
      </c>
      <c r="B56" s="44">
        <v>1200</v>
      </c>
      <c r="D56" s="33" t="s">
        <v>76</v>
      </c>
      <c r="E56" s="81">
        <v>25178.536529874102</v>
      </c>
      <c r="F56" s="34">
        <v>17564.41</v>
      </c>
      <c r="G56" s="35">
        <v>42742.946529874098</v>
      </c>
      <c r="H56" s="36">
        <v>35.619122108228417</v>
      </c>
      <c r="I56" s="37">
        <v>3.2880262211209099E-2</v>
      </c>
      <c r="J56" s="73">
        <v>2.7895474201863214E-2</v>
      </c>
      <c r="K56" s="77">
        <f t="shared" si="5"/>
        <v>4.9847880093458856E-3</v>
      </c>
      <c r="L56" s="189"/>
      <c r="Q56" s="53"/>
    </row>
    <row r="57" spans="1:17" s="44" customFormat="1" ht="13">
      <c r="A57" s="44" t="str">
        <f>D53</f>
        <v>Ke-201311</v>
      </c>
      <c r="B57" s="44">
        <v>1200</v>
      </c>
      <c r="D57" s="33" t="s">
        <v>77</v>
      </c>
      <c r="E57" s="81">
        <v>4589.17</v>
      </c>
      <c r="F57" s="34">
        <v>7799.5639534883721</v>
      </c>
      <c r="G57" s="35">
        <v>12388.733953488372</v>
      </c>
      <c r="H57" s="36">
        <v>10.32394496124031</v>
      </c>
      <c r="I57" s="37">
        <v>9.5301062263197858E-3</v>
      </c>
      <c r="J57" s="73">
        <v>3.4288774851403093E-3</v>
      </c>
      <c r="K57" s="77">
        <f t="shared" si="5"/>
        <v>6.1012287411794765E-3</v>
      </c>
      <c r="L57" s="189"/>
      <c r="Q57" s="53"/>
    </row>
    <row r="58" spans="1:17" s="44" customFormat="1" ht="13">
      <c r="A58" s="44" t="str">
        <f>D53</f>
        <v>Ke-201311</v>
      </c>
      <c r="B58" s="44">
        <v>1200</v>
      </c>
      <c r="D58" s="33" t="s">
        <v>78</v>
      </c>
      <c r="E58" s="81">
        <v>31620.85</v>
      </c>
      <c r="F58" s="34">
        <v>4965.192777641063</v>
      </c>
      <c r="G58" s="35">
        <v>36586.042777641065</v>
      </c>
      <c r="H58" s="36">
        <v>30.488368981367554</v>
      </c>
      <c r="I58" s="37">
        <v>2.8144027903143586E-2</v>
      </c>
      <c r="J58" s="73">
        <v>2.3760337554096646E-2</v>
      </c>
      <c r="K58" s="77">
        <f t="shared" si="5"/>
        <v>4.3836903490469398E-3</v>
      </c>
      <c r="L58" s="189"/>
      <c r="Q58" s="53"/>
    </row>
    <row r="59" spans="1:17" s="44" customFormat="1" ht="14" thickBot="1">
      <c r="A59" s="44" t="str">
        <f>D53</f>
        <v>Ke-201311</v>
      </c>
      <c r="B59" s="44">
        <v>1200</v>
      </c>
      <c r="D59" s="33" t="s">
        <v>79</v>
      </c>
      <c r="E59" s="81">
        <v>5138.25</v>
      </c>
      <c r="F59" s="34">
        <v>0</v>
      </c>
      <c r="G59" s="35">
        <v>5138.25</v>
      </c>
      <c r="H59" s="36">
        <v>4.2818750000000003</v>
      </c>
      <c r="I59" s="37">
        <v>3.9526289370028318E-3</v>
      </c>
      <c r="J59" s="73">
        <v>4.0774479896512226E-3</v>
      </c>
      <c r="K59" s="77">
        <f t="shared" si="5"/>
        <v>-1.2481905264839083E-4</v>
      </c>
      <c r="L59" s="188">
        <f>E60/G60</f>
        <v>0.56235592631604958</v>
      </c>
      <c r="Q59" s="53"/>
    </row>
    <row r="60" spans="1:17" s="44" customFormat="1" thickTop="1" thickBot="1">
      <c r="D60" s="40" t="s">
        <v>80</v>
      </c>
      <c r="E60" s="82">
        <v>731038.85652987403</v>
      </c>
      <c r="F60" s="41">
        <v>568918.73673112947</v>
      </c>
      <c r="G60" s="41">
        <v>1299957.5932610035</v>
      </c>
      <c r="H60" s="78">
        <v>1083.2979943841697</v>
      </c>
      <c r="I60" s="43">
        <v>1.0000000000000002</v>
      </c>
      <c r="J60" s="73"/>
      <c r="K60" s="77"/>
      <c r="L60" s="189"/>
      <c r="Q60" s="53"/>
    </row>
    <row r="61" spans="1:17" s="44" customFormat="1" ht="14" thickBot="1">
      <c r="D61" s="83"/>
      <c r="E61" s="84"/>
      <c r="F61" s="84"/>
      <c r="G61" s="84"/>
      <c r="H61" s="85"/>
      <c r="I61" s="86"/>
      <c r="J61" s="73"/>
      <c r="K61" s="74"/>
      <c r="L61" s="189"/>
      <c r="Q61" s="53"/>
    </row>
    <row r="62" spans="1:17" s="44" customFormat="1" ht="14" thickBot="1">
      <c r="D62" s="27" t="s">
        <v>13</v>
      </c>
      <c r="E62" s="28" t="s">
        <v>69</v>
      </c>
      <c r="F62" s="28" t="s">
        <v>70</v>
      </c>
      <c r="G62" s="28" t="s">
        <v>71</v>
      </c>
      <c r="H62" s="75" t="s">
        <v>72</v>
      </c>
      <c r="I62" s="30" t="s">
        <v>73</v>
      </c>
      <c r="J62" s="73"/>
      <c r="K62" s="74"/>
      <c r="L62" s="189"/>
      <c r="Q62" s="53"/>
    </row>
    <row r="63" spans="1:17" s="44" customFormat="1" ht="13">
      <c r="A63" s="44" t="str">
        <f>D62</f>
        <v>Ke-201403</v>
      </c>
      <c r="B63" s="44">
        <v>7116</v>
      </c>
      <c r="D63" s="33" t="s">
        <v>74</v>
      </c>
      <c r="E63" s="81">
        <v>1108838.98</v>
      </c>
      <c r="F63" s="34">
        <v>6007303.8771428596</v>
      </c>
      <c r="G63" s="35">
        <v>7116142.8571428601</v>
      </c>
      <c r="H63" s="36">
        <v>1000.0200754838196</v>
      </c>
      <c r="I63" s="37">
        <v>0.91112417599632667</v>
      </c>
      <c r="J63" s="73">
        <v>0.90516989958854954</v>
      </c>
      <c r="K63" s="77">
        <f t="shared" ref="K63:K68" si="6">I63-J63</f>
        <v>5.954276407777126E-3</v>
      </c>
      <c r="L63" s="189"/>
      <c r="Q63" s="53"/>
    </row>
    <row r="64" spans="1:17" s="44" customFormat="1" ht="13">
      <c r="A64" s="44" t="str">
        <f>D62</f>
        <v>Ke-201403</v>
      </c>
      <c r="B64" s="44">
        <v>7116</v>
      </c>
      <c r="D64" s="33" t="s">
        <v>75</v>
      </c>
      <c r="E64" s="81">
        <v>78633.14</v>
      </c>
      <c r="F64" s="34">
        <v>37578.244566465684</v>
      </c>
      <c r="G64" s="35">
        <v>116211.38456646568</v>
      </c>
      <c r="H64" s="36">
        <v>16.330998393263869</v>
      </c>
      <c r="I64" s="37">
        <v>1.4879268745740923E-2</v>
      </c>
      <c r="J64" s="73">
        <v>1.330120664940721E-2</v>
      </c>
      <c r="K64" s="77">
        <f t="shared" si="6"/>
        <v>1.5780620963337134E-3</v>
      </c>
      <c r="L64" s="189"/>
      <c r="Q64" s="53"/>
    </row>
    <row r="65" spans="1:17" s="44" customFormat="1" ht="13">
      <c r="A65" s="44" t="str">
        <f>D62</f>
        <v>Ke-201403</v>
      </c>
      <c r="B65" s="44">
        <v>7116</v>
      </c>
      <c r="D65" s="33" t="s">
        <v>76</v>
      </c>
      <c r="E65" s="81">
        <v>26478.276330539498</v>
      </c>
      <c r="F65" s="34">
        <v>180017.18197757474</v>
      </c>
      <c r="G65" s="35">
        <v>206495.45830811423</v>
      </c>
      <c r="H65" s="36">
        <v>29.018473623962091</v>
      </c>
      <c r="I65" s="37">
        <v>2.6438902095552372E-2</v>
      </c>
      <c r="J65" s="73">
        <v>2.7372778122546376E-2</v>
      </c>
      <c r="K65" s="77">
        <f t="shared" si="6"/>
        <v>-9.338760269940044E-4</v>
      </c>
      <c r="L65" s="189"/>
      <c r="Q65" s="53"/>
    </row>
    <row r="66" spans="1:17" s="44" customFormat="1" ht="13">
      <c r="A66" s="44" t="str">
        <f>D62</f>
        <v>Ke-201403</v>
      </c>
      <c r="B66" s="44">
        <v>7116</v>
      </c>
      <c r="D66" s="33" t="s">
        <v>77</v>
      </c>
      <c r="E66" s="81">
        <v>11858.66</v>
      </c>
      <c r="F66" s="34">
        <v>45267.342175653816</v>
      </c>
      <c r="G66" s="35">
        <v>57126.002175653819</v>
      </c>
      <c r="H66" s="36">
        <v>8.0278249263144765</v>
      </c>
      <c r="I66" s="37">
        <v>7.3141985349567075E-3</v>
      </c>
      <c r="J66" s="73">
        <v>4.8190585716582817E-3</v>
      </c>
      <c r="K66" s="77">
        <f t="shared" si="6"/>
        <v>2.4951399632984258E-3</v>
      </c>
      <c r="L66" s="189"/>
      <c r="Q66" s="53"/>
    </row>
    <row r="67" spans="1:17" s="44" customFormat="1" ht="13">
      <c r="A67" s="44" t="str">
        <f>D62</f>
        <v>Ke-201403</v>
      </c>
      <c r="B67" s="44">
        <v>7116</v>
      </c>
      <c r="D67" s="33" t="s">
        <v>78</v>
      </c>
      <c r="E67" s="81">
        <v>125789.38</v>
      </c>
      <c r="F67" s="34">
        <v>137275.01293513138</v>
      </c>
      <c r="G67" s="35">
        <v>263064.39293513139</v>
      </c>
      <c r="H67" s="36">
        <v>36.968014746364723</v>
      </c>
      <c r="I67" s="37">
        <v>3.3681775796056607E-2</v>
      </c>
      <c r="J67" s="73">
        <v>4.3058258285561486E-2</v>
      </c>
      <c r="K67" s="77">
        <f t="shared" si="6"/>
        <v>-9.3764824895048796E-3</v>
      </c>
      <c r="L67" s="189"/>
      <c r="Q67" s="53"/>
    </row>
    <row r="68" spans="1:17" s="44" customFormat="1" ht="14" thickBot="1">
      <c r="A68" s="44" t="str">
        <f>D62</f>
        <v>Ke-201403</v>
      </c>
      <c r="B68" s="44">
        <v>7116</v>
      </c>
      <c r="D68" s="33" t="s">
        <v>79</v>
      </c>
      <c r="E68" s="81">
        <v>18197.7</v>
      </c>
      <c r="F68" s="34">
        <v>33050.906037300243</v>
      </c>
      <c r="G68" s="35">
        <v>51248.60603730024</v>
      </c>
      <c r="H68" s="36">
        <v>7.2018839287943006</v>
      </c>
      <c r="I68" s="37">
        <v>6.561678831366686E-3</v>
      </c>
      <c r="J68" s="73">
        <v>6.2787987822769892E-3</v>
      </c>
      <c r="K68" s="77">
        <f t="shared" si="6"/>
        <v>2.8288004908969683E-4</v>
      </c>
      <c r="L68" s="188">
        <f>E69/G69</f>
        <v>0.17538354710577153</v>
      </c>
      <c r="Q68" s="53"/>
    </row>
    <row r="69" spans="1:17" s="44" customFormat="1" thickTop="1" thickBot="1">
      <c r="D69" s="40" t="s">
        <v>80</v>
      </c>
      <c r="E69" s="82">
        <v>1369796.1363305391</v>
      </c>
      <c r="F69" s="41">
        <v>6440492.5648349859</v>
      </c>
      <c r="G69" s="41">
        <v>7810288.7011655262</v>
      </c>
      <c r="H69" s="78">
        <v>1097.567271102519</v>
      </c>
      <c r="I69" s="43">
        <v>1</v>
      </c>
      <c r="J69" s="73"/>
      <c r="K69" s="77"/>
      <c r="L69" s="189"/>
      <c r="Q69" s="53"/>
    </row>
    <row r="70" spans="1:17" s="44" customFormat="1" ht="14" thickBot="1">
      <c r="H70" s="51"/>
      <c r="I70" s="45"/>
      <c r="J70" s="73"/>
      <c r="K70" s="74"/>
      <c r="L70" s="189"/>
      <c r="Q70" s="53"/>
    </row>
    <row r="71" spans="1:17" s="44" customFormat="1" ht="14" thickBot="1">
      <c r="D71" s="27" t="s">
        <v>81</v>
      </c>
      <c r="E71" s="28" t="s">
        <v>69</v>
      </c>
      <c r="F71" s="28" t="s">
        <v>70</v>
      </c>
      <c r="G71" s="28" t="s">
        <v>71</v>
      </c>
      <c r="H71" s="75" t="s">
        <v>72</v>
      </c>
      <c r="I71" s="30" t="s">
        <v>73</v>
      </c>
      <c r="J71" s="87"/>
      <c r="L71" s="191"/>
      <c r="Q71" s="53"/>
    </row>
    <row r="72" spans="1:17" s="44" customFormat="1" ht="13">
      <c r="A72" s="44" t="str">
        <f>D71</f>
        <v>TOTAL - Ke less Nike</v>
      </c>
      <c r="B72" s="44">
        <v>11969</v>
      </c>
      <c r="D72" s="33" t="s">
        <v>74</v>
      </c>
      <c r="E72" s="34">
        <v>5314890.5633940976</v>
      </c>
      <c r="F72" s="34">
        <v>6642038.5471428595</v>
      </c>
      <c r="G72" s="34">
        <v>11956929.110536959</v>
      </c>
      <c r="H72" s="36">
        <v>998.9914872200651</v>
      </c>
      <c r="I72" s="37">
        <v>0.90977722807938854</v>
      </c>
      <c r="J72" s="79">
        <v>0.90538582056549932</v>
      </c>
      <c r="K72" s="74">
        <f t="shared" ref="K72:K77" si="7">I72-J72</f>
        <v>4.3914075138892228E-3</v>
      </c>
      <c r="L72" s="194"/>
      <c r="Q72" s="53"/>
    </row>
    <row r="73" spans="1:17" s="44" customFormat="1" ht="13">
      <c r="A73" s="44" t="str">
        <f>D71</f>
        <v>TOTAL - Ke less Nike</v>
      </c>
      <c r="B73" s="44">
        <v>11969</v>
      </c>
      <c r="D73" s="33" t="s">
        <v>75</v>
      </c>
      <c r="E73" s="34">
        <v>184753.98334848124</v>
      </c>
      <c r="F73" s="34">
        <v>37578.244566465684</v>
      </c>
      <c r="G73" s="34">
        <v>222332.22791494691</v>
      </c>
      <c r="H73" s="36">
        <v>18.575672814349311</v>
      </c>
      <c r="I73" s="37">
        <v>1.6916784916532104E-2</v>
      </c>
      <c r="J73" s="87">
        <v>1.5831881942152116E-2</v>
      </c>
      <c r="K73" s="74">
        <f t="shared" si="7"/>
        <v>1.0849029743799886E-3</v>
      </c>
      <c r="L73" s="194"/>
      <c r="Q73" s="53"/>
    </row>
    <row r="74" spans="1:17" s="44" customFormat="1" ht="13">
      <c r="A74" s="44" t="str">
        <f>D71</f>
        <v>TOTAL - Ke less Nike</v>
      </c>
      <c r="B74" s="44">
        <v>11969</v>
      </c>
      <c r="D74" s="33" t="s">
        <v>76</v>
      </c>
      <c r="E74" s="34">
        <v>165181.0793929332</v>
      </c>
      <c r="F74" s="34">
        <v>201396.18197757474</v>
      </c>
      <c r="G74" s="34">
        <v>366577.261370508</v>
      </c>
      <c r="H74" s="36">
        <v>30.627225446612751</v>
      </c>
      <c r="I74" s="37">
        <v>2.7892081791527606E-2</v>
      </c>
      <c r="J74" s="87">
        <v>2.499984749448976E-2</v>
      </c>
      <c r="K74" s="74">
        <f t="shared" si="7"/>
        <v>2.8922342970378462E-3</v>
      </c>
      <c r="L74" s="195"/>
      <c r="Q74" s="53"/>
    </row>
    <row r="75" spans="1:17" s="44" customFormat="1" ht="13">
      <c r="A75" s="44" t="str">
        <f>D71</f>
        <v>TOTAL - Ke less Nike</v>
      </c>
      <c r="B75" s="44">
        <v>11969</v>
      </c>
      <c r="D75" s="33" t="s">
        <v>77</v>
      </c>
      <c r="E75" s="34">
        <v>29069.27</v>
      </c>
      <c r="F75" s="34">
        <v>53066.906129142189</v>
      </c>
      <c r="G75" s="34">
        <v>82136.176129142186</v>
      </c>
      <c r="H75" s="36">
        <v>6.8624092346179451</v>
      </c>
      <c r="I75" s="37">
        <v>6.2495664190197458E-3</v>
      </c>
      <c r="J75" s="87">
        <v>4.5892972706179985E-3</v>
      </c>
      <c r="K75" s="74">
        <f t="shared" si="7"/>
        <v>1.6602691484017473E-3</v>
      </c>
      <c r="L75" s="194"/>
      <c r="Q75" s="53"/>
    </row>
    <row r="76" spans="1:17" s="44" customFormat="1" ht="13">
      <c r="A76" s="44" t="str">
        <f>D71</f>
        <v>TOTAL - Ke less Nike</v>
      </c>
      <c r="B76" s="44">
        <v>11969</v>
      </c>
      <c r="D76" s="33" t="s">
        <v>78</v>
      </c>
      <c r="E76" s="34">
        <v>299110.33999999997</v>
      </c>
      <c r="F76" s="34">
        <v>152614.30720428476</v>
      </c>
      <c r="G76" s="34">
        <v>451724.64720428479</v>
      </c>
      <c r="H76" s="36">
        <v>37.741218748791447</v>
      </c>
      <c r="I76" s="37">
        <v>3.4370764733102799E-2</v>
      </c>
      <c r="J76" s="87">
        <v>4.4807105065788014E-2</v>
      </c>
      <c r="K76" s="74">
        <f t="shared" si="7"/>
        <v>-1.0436340332685215E-2</v>
      </c>
      <c r="L76" s="195"/>
      <c r="Q76" s="53"/>
    </row>
    <row r="77" spans="1:17" s="44" customFormat="1" ht="14" thickBot="1">
      <c r="A77" s="44" t="str">
        <f>D71</f>
        <v>TOTAL - Ke less Nike</v>
      </c>
      <c r="B77" s="44">
        <v>11969</v>
      </c>
      <c r="D77" s="33" t="s">
        <v>79</v>
      </c>
      <c r="E77" s="34">
        <v>27545.45</v>
      </c>
      <c r="F77" s="34">
        <v>35455.055461827011</v>
      </c>
      <c r="G77" s="34">
        <v>63000.505461827008</v>
      </c>
      <c r="H77" s="36">
        <v>5.263639858119058</v>
      </c>
      <c r="I77" s="37">
        <v>4.7935740604292502E-3</v>
      </c>
      <c r="J77" s="87">
        <v>4.3860476614526953E-3</v>
      </c>
      <c r="K77" s="74">
        <f t="shared" si="7"/>
        <v>4.0752639897655499E-4</v>
      </c>
      <c r="L77" s="194"/>
      <c r="Q77" s="53"/>
    </row>
    <row r="78" spans="1:17" s="44" customFormat="1" thickTop="1" thickBot="1">
      <c r="D78" s="40" t="s">
        <v>80</v>
      </c>
      <c r="E78" s="41">
        <v>6020550.6861355118</v>
      </c>
      <c r="F78" s="41">
        <v>7122149.2424821537</v>
      </c>
      <c r="G78" s="41">
        <v>13142699.928617667</v>
      </c>
      <c r="H78" s="78">
        <v>1098.0616533225555</v>
      </c>
      <c r="I78" s="43">
        <v>1</v>
      </c>
      <c r="J78" s="87"/>
      <c r="L78" s="191"/>
      <c r="Q78" s="53"/>
    </row>
    <row r="79" spans="1:17" s="44" customFormat="1" ht="14" thickBot="1">
      <c r="H79" s="51"/>
      <c r="I79" s="45"/>
      <c r="J79" s="73"/>
      <c r="K79" s="74"/>
      <c r="L79" s="189"/>
      <c r="Q79" s="53"/>
    </row>
    <row r="80" spans="1:17" s="44" customFormat="1" ht="14" thickBot="1">
      <c r="D80" s="27" t="s">
        <v>12</v>
      </c>
      <c r="E80" s="28" t="s">
        <v>69</v>
      </c>
      <c r="F80" s="28" t="s">
        <v>70</v>
      </c>
      <c r="G80" s="28" t="s">
        <v>71</v>
      </c>
      <c r="H80" s="75" t="s">
        <v>72</v>
      </c>
      <c r="I80" s="30" t="s">
        <v>73</v>
      </c>
      <c r="J80" s="73"/>
      <c r="K80" s="74"/>
      <c r="L80" s="189"/>
      <c r="Q80" s="53"/>
    </row>
    <row r="81" spans="1:17" s="44" customFormat="1" ht="13">
      <c r="A81" s="44" t="str">
        <f>D80</f>
        <v>Ug-201305</v>
      </c>
      <c r="B81" s="44">
        <v>960</v>
      </c>
      <c r="D81" s="33" t="s">
        <v>74</v>
      </c>
      <c r="E81" s="34">
        <v>961542.72</v>
      </c>
      <c r="F81" s="34">
        <v>5936.36</v>
      </c>
      <c r="G81" s="35">
        <v>967479.08</v>
      </c>
      <c r="H81" s="36">
        <v>1007.7907083333333</v>
      </c>
      <c r="I81" s="37">
        <v>0.84985745147868763</v>
      </c>
      <c r="J81" s="79">
        <v>0.86429609661264928</v>
      </c>
      <c r="K81" s="74">
        <f t="shared" ref="K81:K86" si="8">I81-J81</f>
        <v>-1.4438645133961647E-2</v>
      </c>
      <c r="L81" s="191"/>
      <c r="Q81" s="53"/>
    </row>
    <row r="82" spans="1:17" s="44" customFormat="1" ht="13">
      <c r="A82" s="44" t="str">
        <f>D80</f>
        <v>Ug-201305</v>
      </c>
      <c r="B82" s="44">
        <v>960</v>
      </c>
      <c r="D82" s="33" t="s">
        <v>75</v>
      </c>
      <c r="E82" s="34">
        <v>17962.75</v>
      </c>
      <c r="F82" s="34">
        <v>0</v>
      </c>
      <c r="G82" s="35">
        <v>17962.75</v>
      </c>
      <c r="H82" s="36">
        <v>18.711197916666666</v>
      </c>
      <c r="I82" s="37">
        <v>1.5778921996482648E-2</v>
      </c>
      <c r="J82" s="73">
        <v>1.5027751400917737E-2</v>
      </c>
      <c r="K82" s="74">
        <f t="shared" si="8"/>
        <v>7.5117059556491055E-4</v>
      </c>
      <c r="L82" s="189"/>
      <c r="Q82" s="53"/>
    </row>
    <row r="83" spans="1:17" s="44" customFormat="1" ht="13">
      <c r="A83" s="44" t="str">
        <f>D80</f>
        <v>Ug-201305</v>
      </c>
      <c r="B83" s="44">
        <v>960</v>
      </c>
      <c r="D83" s="33" t="s">
        <v>76</v>
      </c>
      <c r="E83" s="34">
        <v>33788.607016840448</v>
      </c>
      <c r="F83" s="34">
        <v>4272.2400000000016</v>
      </c>
      <c r="G83" s="35">
        <v>38060.847016840446</v>
      </c>
      <c r="H83" s="36">
        <v>39.646715642542134</v>
      </c>
      <c r="I83" s="37">
        <v>3.3433585403058255E-2</v>
      </c>
      <c r="J83" s="73">
        <v>3.2890173824464811E-2</v>
      </c>
      <c r="K83" s="74">
        <f t="shared" si="8"/>
        <v>5.4341157859344458E-4</v>
      </c>
      <c r="L83" s="189"/>
      <c r="Q83" s="53"/>
    </row>
    <row r="84" spans="1:17" s="44" customFormat="1" ht="13">
      <c r="A84" s="44" t="str">
        <f>D80</f>
        <v>Ug-201305</v>
      </c>
      <c r="B84" s="44">
        <v>960</v>
      </c>
      <c r="D84" s="33" t="s">
        <v>77</v>
      </c>
      <c r="E84" s="34">
        <v>15816.72</v>
      </c>
      <c r="F84" s="34">
        <v>0</v>
      </c>
      <c r="G84" s="35">
        <v>15816.72</v>
      </c>
      <c r="H84" s="36">
        <v>16.475749999999998</v>
      </c>
      <c r="I84" s="37">
        <v>1.3893796390875953E-2</v>
      </c>
      <c r="J84" s="73">
        <v>1.311768221187453E-2</v>
      </c>
      <c r="K84" s="74">
        <f t="shared" si="8"/>
        <v>7.7611417900142268E-4</v>
      </c>
      <c r="L84" s="189"/>
      <c r="Q84" s="53"/>
    </row>
    <row r="85" spans="1:17" s="44" customFormat="1" ht="13">
      <c r="A85" s="44" t="str">
        <f>D80</f>
        <v>Ug-201305</v>
      </c>
      <c r="B85" s="44">
        <v>960</v>
      </c>
      <c r="D85" s="33" t="s">
        <v>78</v>
      </c>
      <c r="E85" s="34">
        <v>88280.69</v>
      </c>
      <c r="F85" s="34">
        <v>0</v>
      </c>
      <c r="G85" s="35">
        <v>88280.69</v>
      </c>
      <c r="H85" s="36">
        <v>91.959052083333333</v>
      </c>
      <c r="I85" s="37">
        <v>7.7547932321368709E-2</v>
      </c>
      <c r="J85" s="79">
        <v>6.6306757318714798E-2</v>
      </c>
      <c r="K85" s="74">
        <f t="shared" si="8"/>
        <v>1.1241175002653911E-2</v>
      </c>
      <c r="L85" s="189"/>
      <c r="Q85" s="53"/>
    </row>
    <row r="86" spans="1:17" s="44" customFormat="1" ht="14" thickBot="1">
      <c r="A86" s="44" t="str">
        <f>D80</f>
        <v>Ug-201305</v>
      </c>
      <c r="B86" s="44">
        <v>960</v>
      </c>
      <c r="D86" s="33" t="s">
        <v>79</v>
      </c>
      <c r="E86" s="34">
        <v>10801.51</v>
      </c>
      <c r="F86" s="34">
        <v>0</v>
      </c>
      <c r="G86" s="35">
        <v>10801.51</v>
      </c>
      <c r="H86" s="36">
        <v>11.251572916666667</v>
      </c>
      <c r="I86" s="37">
        <v>9.488312409526788E-3</v>
      </c>
      <c r="J86" s="79">
        <v>8.3615386313786975E-3</v>
      </c>
      <c r="K86" s="74">
        <f t="shared" si="8"/>
        <v>1.1267737781480904E-3</v>
      </c>
      <c r="L86" s="188">
        <f>E87/G87</f>
        <v>0.99103251433698658</v>
      </c>
      <c r="Q86" s="53"/>
    </row>
    <row r="87" spans="1:17" s="44" customFormat="1" thickTop="1" thickBot="1">
      <c r="D87" s="40" t="s">
        <v>80</v>
      </c>
      <c r="E87" s="41">
        <v>1128192.9970168404</v>
      </c>
      <c r="F87" s="41">
        <v>10208.600000000002</v>
      </c>
      <c r="G87" s="41">
        <v>1138401.5970168405</v>
      </c>
      <c r="H87" s="78">
        <v>1185.8349968925422</v>
      </c>
      <c r="I87" s="43">
        <v>1</v>
      </c>
      <c r="J87" s="79"/>
      <c r="K87" s="74"/>
      <c r="L87" s="189"/>
      <c r="Q87" s="53"/>
    </row>
    <row r="88" spans="1:17" s="44" customFormat="1" ht="14" thickBot="1">
      <c r="D88" s="83"/>
      <c r="E88" s="84"/>
      <c r="F88" s="84"/>
      <c r="G88" s="84"/>
      <c r="H88" s="88"/>
      <c r="I88" s="86"/>
      <c r="J88" s="79"/>
      <c r="K88" s="74"/>
      <c r="L88" s="189"/>
      <c r="Q88" s="53"/>
    </row>
    <row r="89" spans="1:17" s="44" customFormat="1" ht="14" thickBot="1">
      <c r="D89" s="27" t="s">
        <v>88</v>
      </c>
      <c r="E89" s="28" t="s">
        <v>69</v>
      </c>
      <c r="F89" s="28" t="s">
        <v>70</v>
      </c>
      <c r="G89" s="28" t="s">
        <v>71</v>
      </c>
      <c r="H89" s="75" t="s">
        <v>72</v>
      </c>
      <c r="I89" s="30" t="s">
        <v>73</v>
      </c>
      <c r="J89" s="79"/>
      <c r="K89" s="74"/>
      <c r="L89" s="189"/>
      <c r="Q89" s="53"/>
    </row>
    <row r="90" spans="1:17" s="44" customFormat="1" ht="13">
      <c r="A90" s="44" t="str">
        <f>$D$89</f>
        <v>Ug-201404</v>
      </c>
      <c r="B90" s="44">
        <v>2000</v>
      </c>
      <c r="D90" s="33" t="s">
        <v>74</v>
      </c>
      <c r="E90" s="34">
        <v>38757.599999999999</v>
      </c>
      <c r="F90" s="34">
        <v>1961242.4</v>
      </c>
      <c r="G90" s="35">
        <v>2000000</v>
      </c>
      <c r="H90" s="36">
        <v>1000</v>
      </c>
      <c r="I90" s="37">
        <v>0.85166939840498612</v>
      </c>
      <c r="J90" s="79">
        <v>0.86295121956310039</v>
      </c>
      <c r="K90" s="77">
        <f t="shared" ref="K90:K95" si="9">I90-J90</f>
        <v>-1.1281821158114269E-2</v>
      </c>
      <c r="L90" s="189"/>
      <c r="Q90" s="53"/>
    </row>
    <row r="91" spans="1:17" s="44" customFormat="1" ht="13">
      <c r="A91" s="44" t="str">
        <f t="shared" ref="A91:A95" si="10">$D$89</f>
        <v>Ug-201404</v>
      </c>
      <c r="B91" s="44">
        <v>2000</v>
      </c>
      <c r="D91" s="33" t="s">
        <v>75</v>
      </c>
      <c r="E91" s="34">
        <v>25472.660000000003</v>
      </c>
      <c r="F91" s="34">
        <v>7999</v>
      </c>
      <c r="G91" s="35">
        <v>33471.660000000003</v>
      </c>
      <c r="H91" s="36">
        <v>16.73583</v>
      </c>
      <c r="I91" s="37">
        <v>1.425339426790812E-2</v>
      </c>
      <c r="J91" s="79">
        <v>1.6007818415425708E-2</v>
      </c>
      <c r="K91" s="77">
        <f t="shared" si="9"/>
        <v>-1.7544241475175876E-3</v>
      </c>
      <c r="L91" s="189"/>
      <c r="Q91" s="53"/>
    </row>
    <row r="92" spans="1:17" s="44" customFormat="1" ht="13">
      <c r="A92" s="44" t="str">
        <f t="shared" si="10"/>
        <v>Ug-201404</v>
      </c>
      <c r="B92" s="44">
        <v>2000</v>
      </c>
      <c r="D92" s="33" t="s">
        <v>76</v>
      </c>
      <c r="E92" s="34">
        <v>165.05617781650199</v>
      </c>
      <c r="F92" s="34">
        <v>66028.444444444453</v>
      </c>
      <c r="G92" s="35">
        <v>66193.500622260952</v>
      </c>
      <c r="H92" s="36">
        <v>33.096750311130478</v>
      </c>
      <c r="I92" s="37">
        <v>2.8187489426640528E-2</v>
      </c>
      <c r="J92" s="79">
        <v>3.3004930707770767E-2</v>
      </c>
      <c r="K92" s="77">
        <f t="shared" si="9"/>
        <v>-4.8174412811302393E-3</v>
      </c>
      <c r="L92" s="189"/>
      <c r="Q92" s="53"/>
    </row>
    <row r="93" spans="1:17" s="44" customFormat="1" ht="13">
      <c r="A93" s="44" t="str">
        <f t="shared" si="10"/>
        <v>Ug-201404</v>
      </c>
      <c r="B93" s="44">
        <v>2000</v>
      </c>
      <c r="D93" s="33" t="s">
        <v>77</v>
      </c>
      <c r="E93" s="34">
        <v>0</v>
      </c>
      <c r="F93" s="34">
        <v>46599.060000000005</v>
      </c>
      <c r="G93" s="35">
        <v>46599.060000000005</v>
      </c>
      <c r="H93" s="36">
        <v>23.299530000000001</v>
      </c>
      <c r="I93" s="37">
        <v>1.9843496698218929E-2</v>
      </c>
      <c r="J93" s="79">
        <v>1.8206456294070025E-2</v>
      </c>
      <c r="K93" s="77">
        <f t="shared" si="9"/>
        <v>1.6370404041489046E-3</v>
      </c>
      <c r="L93" s="189"/>
      <c r="Q93" s="53"/>
    </row>
    <row r="94" spans="1:17" s="44" customFormat="1" ht="13">
      <c r="A94" s="44" t="str">
        <f t="shared" si="10"/>
        <v>Ug-201404</v>
      </c>
      <c r="B94" s="44">
        <v>2000</v>
      </c>
      <c r="D94" s="33" t="s">
        <v>78</v>
      </c>
      <c r="E94" s="34">
        <v>58117.04</v>
      </c>
      <c r="F94" s="34">
        <v>130946.11697599286</v>
      </c>
      <c r="G94" s="35">
        <v>189063.15697599287</v>
      </c>
      <c r="H94" s="36">
        <v>94.531578487996427</v>
      </c>
      <c r="I94" s="37">
        <v>8.0509652581145646E-2</v>
      </c>
      <c r="J94" s="79">
        <v>6.4302430985384545E-2</v>
      </c>
      <c r="K94" s="77">
        <f t="shared" si="9"/>
        <v>1.6207221595761101E-2</v>
      </c>
      <c r="L94" s="189"/>
      <c r="Q94" s="53"/>
    </row>
    <row r="95" spans="1:17" s="44" customFormat="1" ht="14" thickBot="1">
      <c r="A95" s="44" t="str">
        <f t="shared" si="10"/>
        <v>Ug-201404</v>
      </c>
      <c r="B95" s="44">
        <v>2000</v>
      </c>
      <c r="D95" s="33" t="s">
        <v>79</v>
      </c>
      <c r="E95" s="34">
        <v>10174.56</v>
      </c>
      <c r="F95" s="34">
        <v>2827.1249999999991</v>
      </c>
      <c r="G95" s="35">
        <v>13001.684999999998</v>
      </c>
      <c r="H95" s="36">
        <v>6.5008424999999992</v>
      </c>
      <c r="I95" s="37">
        <v>5.5365686211005646E-3</v>
      </c>
      <c r="J95" s="79">
        <v>5.527144034248704E-3</v>
      </c>
      <c r="K95" s="77">
        <f t="shared" si="9"/>
        <v>9.4245868518605738E-6</v>
      </c>
      <c r="L95" s="188">
        <f>E96/G96</f>
        <v>5.6502693038686908E-2</v>
      </c>
      <c r="Q95" s="53"/>
    </row>
    <row r="96" spans="1:17" s="44" customFormat="1" thickTop="1" thickBot="1">
      <c r="D96" s="40" t="s">
        <v>80</v>
      </c>
      <c r="E96" s="41">
        <v>132686.91617781651</v>
      </c>
      <c r="F96" s="41">
        <v>2215642.1464204374</v>
      </c>
      <c r="G96" s="41">
        <v>2348329.0625982541</v>
      </c>
      <c r="H96" s="78">
        <v>1174.164531299127</v>
      </c>
      <c r="I96" s="43">
        <v>0.99999999999999989</v>
      </c>
      <c r="J96" s="79"/>
      <c r="K96" s="77"/>
      <c r="L96" s="189"/>
      <c r="Q96" s="53"/>
    </row>
    <row r="97" spans="1:17" ht="16" thickBot="1">
      <c r="L97" s="121"/>
    </row>
    <row r="98" spans="1:17" s="44" customFormat="1" ht="14" thickBot="1">
      <c r="D98" s="27" t="s">
        <v>89</v>
      </c>
      <c r="E98" s="28" t="s">
        <v>69</v>
      </c>
      <c r="F98" s="28" t="s">
        <v>70</v>
      </c>
      <c r="G98" s="28" t="s">
        <v>71</v>
      </c>
      <c r="H98" s="75" t="s">
        <v>72</v>
      </c>
      <c r="I98" s="30" t="s">
        <v>73</v>
      </c>
      <c r="J98" s="79"/>
      <c r="L98" s="191"/>
      <c r="Q98" s="53"/>
    </row>
    <row r="99" spans="1:17" s="44" customFormat="1" ht="13">
      <c r="A99" s="44" t="s">
        <v>89</v>
      </c>
      <c r="B99" s="44">
        <v>2960</v>
      </c>
      <c r="D99" s="33" t="s">
        <v>74</v>
      </c>
      <c r="E99" s="34">
        <v>1000300.32</v>
      </c>
      <c r="F99" s="34">
        <v>1967178.76</v>
      </c>
      <c r="G99" s="34">
        <v>2967479.08</v>
      </c>
      <c r="H99" s="36">
        <v>1002.5267162162162</v>
      </c>
      <c r="I99" s="37">
        <v>0.85107780602921157</v>
      </c>
      <c r="J99" s="79">
        <v>0.86471001889508925</v>
      </c>
      <c r="K99" s="89">
        <f t="shared" ref="K99:K104" si="11">I99-J99</f>
        <v>-1.363221286587768E-2</v>
      </c>
      <c r="L99" s="191"/>
      <c r="Q99" s="53"/>
    </row>
    <row r="100" spans="1:17" s="44" customFormat="1" ht="13">
      <c r="A100" s="44" t="s">
        <v>89</v>
      </c>
      <c r="B100" s="44">
        <v>2960</v>
      </c>
      <c r="D100" s="33" t="s">
        <v>75</v>
      </c>
      <c r="E100" s="34">
        <v>43435.41</v>
      </c>
      <c r="F100" s="34">
        <v>7999</v>
      </c>
      <c r="G100" s="34">
        <v>51434.41</v>
      </c>
      <c r="H100" s="36">
        <v>17.376489864864865</v>
      </c>
      <c r="I100" s="37">
        <v>1.4751472086942882E-2</v>
      </c>
      <c r="J100" s="79">
        <v>2.1506189380344001E-2</v>
      </c>
      <c r="K100" s="89">
        <f t="shared" si="11"/>
        <v>-6.7547172934011197E-3</v>
      </c>
      <c r="L100" s="191"/>
      <c r="Q100" s="53"/>
    </row>
    <row r="101" spans="1:17" s="44" customFormat="1" ht="13">
      <c r="A101" s="44" t="s">
        <v>89</v>
      </c>
      <c r="B101" s="44">
        <v>2960</v>
      </c>
      <c r="D101" s="33" t="s">
        <v>76</v>
      </c>
      <c r="E101" s="34">
        <v>33953.663194656947</v>
      </c>
      <c r="F101" s="34">
        <v>70300.684444444458</v>
      </c>
      <c r="G101" s="34">
        <v>104254.3476391014</v>
      </c>
      <c r="H101" s="36">
        <v>35.221063391588309</v>
      </c>
      <c r="I101" s="37">
        <v>2.9900315744666724E-2</v>
      </c>
      <c r="J101" s="79">
        <v>3.3071756599538558E-2</v>
      </c>
      <c r="K101" s="89">
        <f t="shared" si="11"/>
        <v>-3.1714408548718341E-3</v>
      </c>
      <c r="L101" s="191"/>
      <c r="Q101" s="53"/>
    </row>
    <row r="102" spans="1:17" s="44" customFormat="1" ht="13">
      <c r="A102" s="44" t="s">
        <v>89</v>
      </c>
      <c r="B102" s="44">
        <v>2960</v>
      </c>
      <c r="D102" s="33" t="s">
        <v>77</v>
      </c>
      <c r="E102" s="34">
        <v>15816.72</v>
      </c>
      <c r="F102" s="34">
        <v>46599.060000000005</v>
      </c>
      <c r="G102" s="34">
        <v>62415.780000000006</v>
      </c>
      <c r="H102" s="36">
        <v>21.086412162162166</v>
      </c>
      <c r="I102" s="37">
        <v>1.7900946787467141E-2</v>
      </c>
      <c r="J102" s="79">
        <v>1.7440270213875231E-2</v>
      </c>
      <c r="K102" s="89">
        <f t="shared" si="11"/>
        <v>4.6067657359191022E-4</v>
      </c>
      <c r="L102" s="191"/>
      <c r="Q102" s="53"/>
    </row>
    <row r="103" spans="1:17" s="44" customFormat="1" ht="13">
      <c r="A103" s="44" t="s">
        <v>89</v>
      </c>
      <c r="B103" s="44">
        <v>2960</v>
      </c>
      <c r="D103" s="33" t="s">
        <v>78</v>
      </c>
      <c r="E103" s="34">
        <v>146397.73000000001</v>
      </c>
      <c r="F103" s="34">
        <v>130946.11697599286</v>
      </c>
      <c r="G103" s="34">
        <v>277343.8469759929</v>
      </c>
      <c r="H103" s="36">
        <v>93.697245599997601</v>
      </c>
      <c r="I103" s="37">
        <v>7.9542664476013561E-2</v>
      </c>
      <c r="J103" s="79">
        <v>5.9389432455961233E-2</v>
      </c>
      <c r="K103" s="89">
        <f t="shared" si="11"/>
        <v>2.0153232020052328E-2</v>
      </c>
      <c r="Q103" s="53"/>
    </row>
    <row r="104" spans="1:17" s="44" customFormat="1" ht="14" thickBot="1">
      <c r="A104" s="44" t="s">
        <v>89</v>
      </c>
      <c r="B104" s="44">
        <v>2960</v>
      </c>
      <c r="D104" s="33" t="s">
        <v>79</v>
      </c>
      <c r="E104" s="34">
        <v>20976.07</v>
      </c>
      <c r="F104" s="34">
        <v>2827.1249999999991</v>
      </c>
      <c r="G104" s="34">
        <v>23803.195</v>
      </c>
      <c r="H104" s="36">
        <v>8.0416199324324324</v>
      </c>
      <c r="I104" s="37">
        <v>6.8267948756981622E-3</v>
      </c>
      <c r="J104" s="79">
        <v>3.8823324551917585E-3</v>
      </c>
      <c r="K104" s="89">
        <f t="shared" si="11"/>
        <v>2.9444624205064037E-3</v>
      </c>
      <c r="Q104" s="53"/>
    </row>
    <row r="105" spans="1:17" s="44" customFormat="1" thickTop="1" thickBot="1">
      <c r="D105" s="40" t="s">
        <v>80</v>
      </c>
      <c r="E105" s="41">
        <f>SUM(E99:E104)</f>
        <v>1260879.9131946568</v>
      </c>
      <c r="F105" s="41">
        <f>SUM(F99:F104)</f>
        <v>2225850.7464204375</v>
      </c>
      <c r="G105" s="41">
        <f>SUM(G99:G104)</f>
        <v>3486730.6596150943</v>
      </c>
      <c r="H105" s="78">
        <f>SUM(H99:H104)</f>
        <v>1177.9495471672615</v>
      </c>
      <c r="I105" s="43">
        <f>SUM(I99:I104)</f>
        <v>0.99999999999999989</v>
      </c>
      <c r="J105" s="79"/>
      <c r="K105" s="77"/>
      <c r="Q105" s="53"/>
    </row>
    <row r="106" spans="1:17" ht="16" thickBot="1"/>
    <row r="107" spans="1:17" ht="16" thickBot="1">
      <c r="A107" s="120" t="s">
        <v>91</v>
      </c>
      <c r="B107" s="121"/>
      <c r="C107" s="121"/>
      <c r="D107" s="122" t="s">
        <v>90</v>
      </c>
      <c r="E107" s="123" t="s">
        <v>69</v>
      </c>
      <c r="F107" s="123" t="s">
        <v>70</v>
      </c>
      <c r="G107" s="123" t="s">
        <v>71</v>
      </c>
      <c r="H107" s="167" t="s">
        <v>72</v>
      </c>
      <c r="I107" s="168" t="s">
        <v>253</v>
      </c>
      <c r="J107" s="169" t="s">
        <v>254</v>
      </c>
    </row>
    <row r="108" spans="1:17">
      <c r="A108" s="121" t="s">
        <v>90</v>
      </c>
      <c r="B108" s="125">
        <f t="shared" ref="B108:B113" si="12">B9+B18+B27+B36+B45+B54+B63+B81+B90</f>
        <v>15006</v>
      </c>
      <c r="C108" s="121"/>
      <c r="D108" s="126" t="s">
        <v>74</v>
      </c>
      <c r="E108" s="125">
        <f>E9+E18+E27+E36+E45+E54+E63+E81+E90</f>
        <v>6381366.5218901997</v>
      </c>
      <c r="F108" s="125">
        <f t="shared" ref="E108:F113" si="13">F9+F18+F27+F36+F45+F54+F63+F81+F90</f>
        <v>8609217.3071428593</v>
      </c>
      <c r="G108" s="125">
        <f t="shared" ref="G108:G113" si="14">E108+F108</f>
        <v>14990583.829033058</v>
      </c>
      <c r="H108" s="127">
        <f t="shared" ref="H108:H113" si="15">G108/B108</f>
        <v>998.97266620238963</v>
      </c>
      <c r="I108" s="139">
        <f>E108/$E$114</f>
        <v>0.86644387560722291</v>
      </c>
      <c r="J108" s="128">
        <f t="shared" ref="J108:J113" si="16">G108/$G$114</f>
        <v>0.89694107588407201</v>
      </c>
    </row>
    <row r="109" spans="1:17">
      <c r="A109" s="121" t="s">
        <v>90</v>
      </c>
      <c r="B109" s="125">
        <f t="shared" si="12"/>
        <v>15006</v>
      </c>
      <c r="C109" s="121"/>
      <c r="D109" s="126" t="s">
        <v>75</v>
      </c>
      <c r="E109" s="125">
        <f t="shared" si="13"/>
        <v>234697.80000000002</v>
      </c>
      <c r="F109" s="125">
        <f t="shared" si="13"/>
        <v>45577.244566465684</v>
      </c>
      <c r="G109" s="125">
        <f t="shared" si="14"/>
        <v>280275.04456646572</v>
      </c>
      <c r="H109" s="127">
        <f t="shared" si="15"/>
        <v>18.67753195831439</v>
      </c>
      <c r="I109" s="139">
        <f t="shared" ref="I109:I113" si="17">E109/$E$114</f>
        <v>3.1866602667457292E-2</v>
      </c>
      <c r="J109" s="128">
        <f t="shared" si="16"/>
        <v>1.6769873867755657E-2</v>
      </c>
    </row>
    <row r="110" spans="1:17">
      <c r="A110" s="121" t="s">
        <v>90</v>
      </c>
      <c r="B110" s="125">
        <f t="shared" si="12"/>
        <v>15006</v>
      </c>
      <c r="C110" s="121"/>
      <c r="D110" s="126" t="s">
        <v>76</v>
      </c>
      <c r="E110" s="125">
        <f t="shared" si="13"/>
        <v>202946.97342534497</v>
      </c>
      <c r="F110" s="125">
        <f t="shared" si="13"/>
        <v>271696.8664220192</v>
      </c>
      <c r="G110" s="125">
        <f t="shared" si="14"/>
        <v>474643.83984736417</v>
      </c>
      <c r="H110" s="127">
        <f t="shared" si="15"/>
        <v>31.630270548271636</v>
      </c>
      <c r="I110" s="139">
        <f t="shared" si="17"/>
        <v>2.7555565347048339E-2</v>
      </c>
      <c r="J110" s="128">
        <f t="shared" si="16"/>
        <v>2.8399664831593344E-2</v>
      </c>
    </row>
    <row r="111" spans="1:17">
      <c r="A111" s="121" t="s">
        <v>90</v>
      </c>
      <c r="B111" s="125">
        <f t="shared" si="12"/>
        <v>15006</v>
      </c>
      <c r="C111" s="121"/>
      <c r="D111" s="126" t="s">
        <v>77</v>
      </c>
      <c r="E111" s="125">
        <f t="shared" si="13"/>
        <v>45591.11</v>
      </c>
      <c r="F111" s="125">
        <f t="shared" si="13"/>
        <v>99665.966129142194</v>
      </c>
      <c r="G111" s="125">
        <f t="shared" si="14"/>
        <v>145257.07612914219</v>
      </c>
      <c r="H111" s="127">
        <f t="shared" si="15"/>
        <v>9.6799331020353314</v>
      </c>
      <c r="I111" s="139">
        <f t="shared" si="17"/>
        <v>6.1902318110282194E-3</v>
      </c>
      <c r="J111" s="128">
        <f t="shared" si="16"/>
        <v>8.6912584345590037E-3</v>
      </c>
    </row>
    <row r="112" spans="1:17">
      <c r="A112" s="121" t="s">
        <v>90</v>
      </c>
      <c r="B112" s="125">
        <f t="shared" si="12"/>
        <v>15006</v>
      </c>
      <c r="C112" s="121"/>
      <c r="D112" s="126" t="s">
        <v>78</v>
      </c>
      <c r="E112" s="125">
        <f t="shared" si="13"/>
        <v>451804.23</v>
      </c>
      <c r="F112" s="125">
        <f t="shared" si="13"/>
        <v>283560.42418027762</v>
      </c>
      <c r="G112" s="125">
        <f t="shared" si="14"/>
        <v>735364.6541802776</v>
      </c>
      <c r="H112" s="127">
        <f t="shared" si="15"/>
        <v>49.004708395327043</v>
      </c>
      <c r="I112" s="139">
        <f t="shared" si="17"/>
        <v>6.1344698931504626E-2</v>
      </c>
      <c r="J112" s="128">
        <f t="shared" si="16"/>
        <v>4.399953808404284E-2</v>
      </c>
    </row>
    <row r="113" spans="1:11" ht="16" thickBot="1">
      <c r="A113" s="121" t="s">
        <v>90</v>
      </c>
      <c r="B113" s="125">
        <f t="shared" si="12"/>
        <v>15006</v>
      </c>
      <c r="C113" s="121"/>
      <c r="D113" s="126" t="s">
        <v>79</v>
      </c>
      <c r="E113" s="125">
        <f t="shared" si="13"/>
        <v>48601.88</v>
      </c>
      <c r="F113" s="125">
        <f t="shared" si="13"/>
        <v>38282.180461827011</v>
      </c>
      <c r="G113" s="125">
        <f t="shared" si="14"/>
        <v>86884.060461827001</v>
      </c>
      <c r="H113" s="127">
        <f t="shared" si="15"/>
        <v>5.7899547155689062</v>
      </c>
      <c r="I113" s="170">
        <f t="shared" si="17"/>
        <v>6.59902563573855E-3</v>
      </c>
      <c r="J113" s="128">
        <f t="shared" si="16"/>
        <v>5.1985888979772053E-3</v>
      </c>
    </row>
    <row r="114" spans="1:11" ht="17" thickTop="1" thickBot="1">
      <c r="A114" s="121"/>
      <c r="B114" s="121"/>
      <c r="C114" s="121"/>
      <c r="D114" s="129" t="s">
        <v>80</v>
      </c>
      <c r="E114" s="130">
        <f t="shared" ref="E114:J114" si="18">SUM(E108:E113)</f>
        <v>7365008.5153155448</v>
      </c>
      <c r="F114" s="130">
        <f t="shared" si="18"/>
        <v>9347999.9889025912</v>
      </c>
      <c r="G114" s="130">
        <f t="shared" si="18"/>
        <v>16713008.504218133</v>
      </c>
      <c r="H114" s="131">
        <f t="shared" si="18"/>
        <v>1113.755064921907</v>
      </c>
      <c r="I114" s="171">
        <f t="shared" si="18"/>
        <v>0.99999999999999989</v>
      </c>
      <c r="J114" s="132">
        <f t="shared" si="18"/>
        <v>1.0000000000000002</v>
      </c>
    </row>
    <row r="115" spans="1:11">
      <c r="A115" s="121"/>
      <c r="B115" s="121"/>
      <c r="C115" s="121"/>
      <c r="D115" s="121"/>
      <c r="E115" s="121"/>
      <c r="F115" s="121"/>
      <c r="G115" s="121"/>
      <c r="H115" s="121"/>
      <c r="I115" s="121"/>
    </row>
    <row r="116" spans="1:11">
      <c r="A116" s="120"/>
      <c r="B116" s="121"/>
      <c r="C116" s="121"/>
      <c r="D116" s="173"/>
      <c r="E116" s="134"/>
      <c r="F116" s="174"/>
      <c r="I116" s="121"/>
    </row>
    <row r="117" spans="1:11">
      <c r="A117" s="121"/>
      <c r="B117" s="121"/>
      <c r="C117" s="121"/>
      <c r="D117" s="175"/>
      <c r="E117" s="172"/>
      <c r="F117" s="174"/>
      <c r="I117" s="121"/>
    </row>
    <row r="118" spans="1:11">
      <c r="A118" s="121"/>
      <c r="B118" s="121"/>
      <c r="C118" s="121"/>
      <c r="D118" s="175"/>
      <c r="E118" s="172"/>
      <c r="F118" s="176"/>
      <c r="G118" s="121"/>
      <c r="H118" s="121"/>
      <c r="I118" s="121"/>
      <c r="J118" s="121"/>
      <c r="K118" s="121"/>
    </row>
    <row r="119" spans="1:11">
      <c r="A119" s="121"/>
      <c r="B119" s="121"/>
      <c r="C119" s="121"/>
      <c r="D119" s="175"/>
      <c r="E119" s="172"/>
      <c r="F119" s="176"/>
      <c r="G119" s="143"/>
      <c r="H119" s="143"/>
      <c r="I119" s="121"/>
      <c r="J119" s="121"/>
      <c r="K119" s="121"/>
    </row>
    <row r="120" spans="1:11">
      <c r="A120" s="121"/>
      <c r="B120" s="121"/>
      <c r="C120" s="121"/>
      <c r="D120" s="175"/>
      <c r="E120" s="172"/>
      <c r="F120" s="176"/>
      <c r="G120" s="143"/>
      <c r="H120" s="143"/>
      <c r="I120" s="121"/>
      <c r="J120" s="121"/>
      <c r="K120" s="121"/>
    </row>
    <row r="121" spans="1:11">
      <c r="A121" s="121"/>
      <c r="B121" s="121"/>
      <c r="C121" s="121"/>
      <c r="D121" s="175"/>
      <c r="E121" s="172"/>
      <c r="F121" s="176"/>
      <c r="G121" s="143"/>
      <c r="H121" s="143"/>
      <c r="I121" s="121"/>
      <c r="J121" s="121"/>
      <c r="K121" s="121"/>
    </row>
    <row r="122" spans="1:11">
      <c r="A122" s="121"/>
      <c r="B122" s="121"/>
      <c r="C122" s="121"/>
      <c r="D122" s="175"/>
      <c r="E122" s="172"/>
      <c r="F122" s="176"/>
      <c r="G122" s="143"/>
      <c r="H122" s="143"/>
      <c r="I122" s="121"/>
      <c r="J122" s="121"/>
      <c r="K122" s="121"/>
    </row>
    <row r="123" spans="1:11">
      <c r="A123" s="121"/>
      <c r="B123" s="121"/>
      <c r="C123" s="121"/>
      <c r="D123" s="154"/>
      <c r="E123" s="134"/>
      <c r="F123" s="176"/>
      <c r="G123" s="143"/>
      <c r="H123" s="143"/>
      <c r="I123" s="120"/>
      <c r="J123" s="144"/>
      <c r="K123" s="121"/>
    </row>
    <row r="124" spans="1:11">
      <c r="D124" s="174"/>
      <c r="E124" s="174"/>
      <c r="F124" s="176"/>
      <c r="G124" s="121"/>
      <c r="H124" s="121"/>
      <c r="I124" s="121"/>
      <c r="J124" s="144"/>
      <c r="K124" s="121"/>
    </row>
    <row r="125" spans="1:11">
      <c r="F125" s="121"/>
      <c r="G125" s="121"/>
      <c r="H125" s="121"/>
      <c r="I125" s="121"/>
      <c r="J125" s="145"/>
      <c r="K125" s="121"/>
    </row>
  </sheetData>
  <conditionalFormatting sqref="K9 K18 K27 K36 K45 K81">
    <cfRule type="cellIs" dxfId="60" priority="55" operator="lessThan">
      <formula>0</formula>
    </cfRule>
    <cfRule type="cellIs" dxfId="59" priority="56" operator="greaterThan">
      <formula>0</formula>
    </cfRule>
  </conditionalFormatting>
  <conditionalFormatting sqref="K72">
    <cfRule type="cellIs" dxfId="58" priority="53" operator="lessThan">
      <formula>0</formula>
    </cfRule>
    <cfRule type="cellIs" dxfId="57" priority="54" operator="greaterThan">
      <formula>0</formula>
    </cfRule>
  </conditionalFormatting>
  <conditionalFormatting sqref="K10">
    <cfRule type="cellIs" dxfId="56" priority="51" operator="lessThan">
      <formula>0</formula>
    </cfRule>
    <cfRule type="cellIs" dxfId="55" priority="52" operator="greaterThan">
      <formula>0</formula>
    </cfRule>
  </conditionalFormatting>
  <conditionalFormatting sqref="K11:K14">
    <cfRule type="cellIs" dxfId="54" priority="49" operator="lessThan">
      <formula>0</formula>
    </cfRule>
    <cfRule type="cellIs" dxfId="53" priority="50" operator="greaterThan">
      <formula>0</formula>
    </cfRule>
  </conditionalFormatting>
  <conditionalFormatting sqref="K19">
    <cfRule type="cellIs" dxfId="52" priority="47" operator="lessThan">
      <formula>0</formula>
    </cfRule>
    <cfRule type="cellIs" dxfId="51" priority="48" operator="greaterThan">
      <formula>0</formula>
    </cfRule>
  </conditionalFormatting>
  <conditionalFormatting sqref="K20:K23">
    <cfRule type="cellIs" dxfId="50" priority="45" operator="lessThan">
      <formula>0</formula>
    </cfRule>
    <cfRule type="cellIs" dxfId="49" priority="46" operator="greaterThan">
      <formula>0</formula>
    </cfRule>
  </conditionalFormatting>
  <conditionalFormatting sqref="K28">
    <cfRule type="cellIs" dxfId="48" priority="43" operator="lessThan">
      <formula>0</formula>
    </cfRule>
    <cfRule type="cellIs" dxfId="47" priority="44" operator="greaterThan">
      <formula>0</formula>
    </cfRule>
  </conditionalFormatting>
  <conditionalFormatting sqref="K29:K32">
    <cfRule type="cellIs" dxfId="46" priority="41" operator="lessThan">
      <formula>0</formula>
    </cfRule>
    <cfRule type="cellIs" dxfId="45" priority="42" operator="greaterThan">
      <formula>0</formula>
    </cfRule>
  </conditionalFormatting>
  <conditionalFormatting sqref="K37">
    <cfRule type="cellIs" dxfId="44" priority="39" operator="lessThan">
      <formula>0</formula>
    </cfRule>
    <cfRule type="cellIs" dxfId="43" priority="40" operator="greaterThan">
      <formula>0</formula>
    </cfRule>
  </conditionalFormatting>
  <conditionalFormatting sqref="K38:K41">
    <cfRule type="cellIs" dxfId="42" priority="37" operator="lessThan">
      <formula>0</formula>
    </cfRule>
    <cfRule type="cellIs" dxfId="41" priority="38" operator="greaterThan">
      <formula>0</formula>
    </cfRule>
  </conditionalFormatting>
  <conditionalFormatting sqref="K46">
    <cfRule type="cellIs" dxfId="40" priority="35" operator="lessThan">
      <formula>0</formula>
    </cfRule>
    <cfRule type="cellIs" dxfId="39" priority="36" operator="greaterThan">
      <formula>0</formula>
    </cfRule>
  </conditionalFormatting>
  <conditionalFormatting sqref="K47:K50">
    <cfRule type="cellIs" dxfId="38" priority="33" operator="lessThan">
      <formula>0</formula>
    </cfRule>
    <cfRule type="cellIs" dxfId="37" priority="34" operator="greaterThan">
      <formula>0</formula>
    </cfRule>
  </conditionalFormatting>
  <conditionalFormatting sqref="K82">
    <cfRule type="cellIs" dxfId="36" priority="31" operator="lessThan">
      <formula>0</formula>
    </cfRule>
    <cfRule type="cellIs" dxfId="35" priority="32" operator="greaterThan">
      <formula>0</formula>
    </cfRule>
  </conditionalFormatting>
  <conditionalFormatting sqref="K83:K86">
    <cfRule type="cellIs" dxfId="34" priority="29" operator="lessThan">
      <formula>0</formula>
    </cfRule>
    <cfRule type="cellIs" dxfId="33" priority="30" operator="greaterThan">
      <formula>0</formula>
    </cfRule>
  </conditionalFormatting>
  <conditionalFormatting sqref="K73">
    <cfRule type="cellIs" dxfId="32" priority="27" operator="lessThan">
      <formula>0</formula>
    </cfRule>
    <cfRule type="cellIs" dxfId="31" priority="28" operator="greaterThan">
      <formula>0</formula>
    </cfRule>
  </conditionalFormatting>
  <conditionalFormatting sqref="K74:K77">
    <cfRule type="cellIs" dxfId="30" priority="25" operator="lessThan">
      <formula>0</formula>
    </cfRule>
    <cfRule type="cellIs" dxfId="29" priority="26" operator="greaterThan">
      <formula>0</formula>
    </cfRule>
  </conditionalFormatting>
  <conditionalFormatting sqref="K54">
    <cfRule type="cellIs" dxfId="28" priority="23" operator="lessThan">
      <formula>0</formula>
    </cfRule>
    <cfRule type="cellIs" dxfId="27" priority="24" operator="greaterThan">
      <formula>0</formula>
    </cfRule>
  </conditionalFormatting>
  <conditionalFormatting sqref="K55">
    <cfRule type="cellIs" dxfId="26" priority="21" operator="lessThan">
      <formula>0</formula>
    </cfRule>
    <cfRule type="cellIs" dxfId="25" priority="22" operator="greaterThan">
      <formula>0</formula>
    </cfRule>
  </conditionalFormatting>
  <conditionalFormatting sqref="K56:K59">
    <cfRule type="cellIs" dxfId="24" priority="19" operator="lessThan">
      <formula>0</formula>
    </cfRule>
    <cfRule type="cellIs" dxfId="23" priority="20" operator="greaterThan">
      <formula>0</formula>
    </cfRule>
  </conditionalFormatting>
  <conditionalFormatting sqref="K63">
    <cfRule type="cellIs" dxfId="22" priority="17" operator="lessThan">
      <formula>0</formula>
    </cfRule>
    <cfRule type="cellIs" dxfId="21" priority="18" operator="greaterThan">
      <formula>0</formula>
    </cfRule>
  </conditionalFormatting>
  <conditionalFormatting sqref="K64">
    <cfRule type="cellIs" dxfId="20" priority="15" operator="lessThan">
      <formula>0</formula>
    </cfRule>
    <cfRule type="cellIs" dxfId="19" priority="16" operator="greaterThan">
      <formula>0</formula>
    </cfRule>
  </conditionalFormatting>
  <conditionalFormatting sqref="K65:K68">
    <cfRule type="cellIs" dxfId="18" priority="13" operator="lessThan">
      <formula>0</formula>
    </cfRule>
    <cfRule type="cellIs" dxfId="17" priority="14" operator="greaterThan">
      <formula>0</formula>
    </cfRule>
  </conditionalFormatting>
  <conditionalFormatting sqref="K90">
    <cfRule type="cellIs" dxfId="16" priority="11" operator="lessThan">
      <formula>0</formula>
    </cfRule>
    <cfRule type="cellIs" dxfId="15" priority="12" operator="greaterThan">
      <formula>0</formula>
    </cfRule>
  </conditionalFormatting>
  <conditionalFormatting sqref="K91">
    <cfRule type="cellIs" dxfId="14" priority="9" operator="lessThan">
      <formula>0</formula>
    </cfRule>
    <cfRule type="cellIs" dxfId="13" priority="10" operator="greaterThan">
      <formula>0</formula>
    </cfRule>
  </conditionalFormatting>
  <conditionalFormatting sqref="K92:K95">
    <cfRule type="cellIs" dxfId="12" priority="7" operator="lessThan">
      <formula>0</formula>
    </cfRule>
    <cfRule type="cellIs" dxfId="11" priority="8" operator="greaterThan">
      <formula>0</formula>
    </cfRule>
  </conditionalFormatting>
  <conditionalFormatting sqref="K99">
    <cfRule type="cellIs" dxfId="10" priority="5" operator="lessThan">
      <formula>0</formula>
    </cfRule>
    <cfRule type="cellIs" dxfId="9" priority="6" operator="greaterThan">
      <formula>0</formula>
    </cfRule>
  </conditionalFormatting>
  <conditionalFormatting sqref="K100">
    <cfRule type="cellIs" dxfId="8" priority="3" operator="lessThan">
      <formula>0</formula>
    </cfRule>
    <cfRule type="cellIs" dxfId="7" priority="4" operator="greaterThan">
      <formula>0</formula>
    </cfRule>
  </conditionalFormatting>
  <conditionalFormatting sqref="K101:K104">
    <cfRule type="cellIs" dxfId="6" priority="1" operator="lessThan">
      <formula>0</formula>
    </cfRule>
    <cfRule type="cellIs" dxfId="5" priority="2" operator="greaterThan">
      <formula>0</formula>
    </cfRule>
  </conditionalFormatting>
  <pageMargins left="0.75" right="0.75" top="1" bottom="1" header="0.5" footer="0.5"/>
  <pageSetup orientation="portrait" horizontalDpi="4294967292" verticalDpi="4294967292"/>
  <legacyDrawing r:id="rId1"/>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74"/>
  <sheetViews>
    <sheetView workbookViewId="0">
      <selection activeCell="J68" sqref="J68"/>
    </sheetView>
  </sheetViews>
  <sheetFormatPr baseColWidth="10" defaultColWidth="8.83203125" defaultRowHeight="15" x14ac:dyDescent="0"/>
  <cols>
    <col min="1" max="1" width="25.33203125" bestFit="1" customWidth="1"/>
    <col min="2" max="6" width="12.33203125" customWidth="1"/>
    <col min="13" max="13" width="25.33203125" bestFit="1" customWidth="1"/>
    <col min="14" max="18" width="12.33203125" customWidth="1"/>
    <col min="21" max="21" width="8.83203125" style="135"/>
    <col min="27" max="27" width="12.83203125" customWidth="1"/>
  </cols>
  <sheetData>
    <row r="1" spans="1:16">
      <c r="A1" s="200" t="s">
        <v>66</v>
      </c>
      <c r="I1" s="135"/>
      <c r="N1" s="140" t="s">
        <v>256</v>
      </c>
      <c r="O1" s="141">
        <f>SUM(B5,B14,B23,B32,B41,B50)</f>
        <v>1395051.7318901997</v>
      </c>
    </row>
    <row r="2" spans="1:16">
      <c r="A2" s="183" t="s">
        <v>299</v>
      </c>
      <c r="I2" s="115" t="s">
        <v>93</v>
      </c>
      <c r="N2" s="140" t="s">
        <v>257</v>
      </c>
      <c r="O2" s="142">
        <v>1494130</v>
      </c>
    </row>
    <row r="3" spans="1:16" ht="38" thickBot="1">
      <c r="G3" s="26" t="s">
        <v>67</v>
      </c>
      <c r="H3" s="25" t="s">
        <v>68</v>
      </c>
      <c r="I3" s="135" t="s">
        <v>92</v>
      </c>
      <c r="N3" s="140" t="s">
        <v>258</v>
      </c>
      <c r="O3" s="141">
        <f>O1-O2</f>
        <v>-99078.268109800294</v>
      </c>
      <c r="P3" t="s">
        <v>259</v>
      </c>
    </row>
    <row r="4" spans="1:16" ht="16" thickBot="1">
      <c r="A4" s="27" t="s">
        <v>6</v>
      </c>
      <c r="B4" s="28" t="s">
        <v>69</v>
      </c>
      <c r="C4" s="28" t="s">
        <v>70</v>
      </c>
      <c r="D4" s="28" t="s">
        <v>71</v>
      </c>
      <c r="E4" s="29" t="s">
        <v>72</v>
      </c>
      <c r="F4" s="30" t="s">
        <v>73</v>
      </c>
      <c r="G4" s="31"/>
      <c r="H4" s="32"/>
      <c r="I4" s="135"/>
      <c r="J4" t="s">
        <v>260</v>
      </c>
    </row>
    <row r="5" spans="1:16">
      <c r="A5" s="33" t="s">
        <v>74</v>
      </c>
      <c r="B5" s="34">
        <v>516071.54714408203</v>
      </c>
      <c r="C5" s="34"/>
      <c r="D5" s="35">
        <v>516071.54714408203</v>
      </c>
      <c r="E5" s="36">
        <v>959.24079394810781</v>
      </c>
      <c r="F5" s="37">
        <v>0.91996943412704213</v>
      </c>
      <c r="G5" s="31">
        <v>0.91475188854010914</v>
      </c>
      <c r="H5" s="38">
        <f>F5-G5</f>
        <v>5.2175455869329923E-3</v>
      </c>
      <c r="I5" s="135">
        <f>D5/E5</f>
        <v>538</v>
      </c>
    </row>
    <row r="6" spans="1:16">
      <c r="A6" s="33" t="s">
        <v>75</v>
      </c>
      <c r="B6" s="34">
        <v>18776.324880181</v>
      </c>
      <c r="C6" s="34">
        <v>0</v>
      </c>
      <c r="D6" s="35">
        <v>18776.324880181</v>
      </c>
      <c r="E6" s="36">
        <v>34.900232119295538</v>
      </c>
      <c r="F6" s="37">
        <v>3.3471415098540569E-2</v>
      </c>
      <c r="G6" s="31"/>
      <c r="H6" s="38"/>
      <c r="I6" s="135"/>
    </row>
    <row r="7" spans="1:16">
      <c r="A7" s="33" t="s">
        <v>76</v>
      </c>
      <c r="B7" s="34">
        <v>14800.186438956389</v>
      </c>
      <c r="C7" s="34"/>
      <c r="D7" s="35">
        <v>14800.186438956389</v>
      </c>
      <c r="E7" s="36">
        <v>27.50964022110853</v>
      </c>
      <c r="F7" s="37">
        <v>2.6383394354077924E-2</v>
      </c>
      <c r="G7" s="31"/>
      <c r="H7" s="38"/>
      <c r="I7" s="135"/>
    </row>
    <row r="8" spans="1:16">
      <c r="A8" s="33" t="s">
        <v>77</v>
      </c>
      <c r="B8" s="34">
        <v>2443</v>
      </c>
      <c r="C8" s="34">
        <v>54.873037996693533</v>
      </c>
      <c r="D8" s="35">
        <v>2497.8730379966937</v>
      </c>
      <c r="E8" s="36">
        <v>4.6428866877261967</v>
      </c>
      <c r="F8" s="37">
        <v>4.4528067048142158E-3</v>
      </c>
      <c r="G8" s="31"/>
      <c r="H8" s="39"/>
      <c r="I8" s="135"/>
    </row>
    <row r="9" spans="1:16">
      <c r="A9" s="33" t="s">
        <v>78</v>
      </c>
      <c r="B9" s="34">
        <v>6902</v>
      </c>
      <c r="C9" s="34">
        <v>1728.2744704755614</v>
      </c>
      <c r="D9" s="35">
        <v>8630.2744704755605</v>
      </c>
      <c r="E9" s="36">
        <v>16.041402361478738</v>
      </c>
      <c r="F9" s="37">
        <v>1.538466665116844E-2</v>
      </c>
      <c r="G9" s="31"/>
      <c r="H9" s="38"/>
      <c r="I9" s="135"/>
    </row>
    <row r="10" spans="1:16" ht="16" thickBot="1">
      <c r="A10" s="33" t="s">
        <v>79</v>
      </c>
      <c r="B10" s="34">
        <v>40</v>
      </c>
      <c r="C10" s="34">
        <v>149.76528775740695</v>
      </c>
      <c r="D10" s="35">
        <v>189.76528775740695</v>
      </c>
      <c r="E10" s="36">
        <v>0.35272358319220626</v>
      </c>
      <c r="F10" s="37">
        <v>3.3828306435657165E-4</v>
      </c>
      <c r="G10" s="31"/>
      <c r="H10" s="38"/>
      <c r="I10" s="135"/>
    </row>
    <row r="11" spans="1:16" ht="17" thickTop="1" thickBot="1">
      <c r="A11" s="40" t="s">
        <v>80</v>
      </c>
      <c r="B11" s="41">
        <f>SUM(B5:B10)</f>
        <v>559033.05846321944</v>
      </c>
      <c r="C11" s="41">
        <f>SUM(C5:C10)</f>
        <v>1932.9127962296618</v>
      </c>
      <c r="D11" s="41">
        <f>SUM(D5:D10)</f>
        <v>560965.97125944914</v>
      </c>
      <c r="E11" s="42"/>
      <c r="F11" s="43">
        <f>SUM(F5:F10)</f>
        <v>0.99999999999999978</v>
      </c>
      <c r="G11" s="31"/>
      <c r="H11" s="38"/>
      <c r="I11" s="135"/>
    </row>
    <row r="12" spans="1:16" ht="16" thickBot="1">
      <c r="A12" s="44"/>
      <c r="B12" s="44"/>
      <c r="C12" s="44"/>
      <c r="D12" s="44"/>
      <c r="E12" s="44"/>
      <c r="F12" s="45"/>
      <c r="G12" s="31"/>
      <c r="H12" s="38"/>
      <c r="I12" s="135"/>
    </row>
    <row r="13" spans="1:16" ht="16" thickBot="1">
      <c r="A13" s="27" t="s">
        <v>7</v>
      </c>
      <c r="B13" s="28" t="s">
        <v>69</v>
      </c>
      <c r="C13" s="28" t="s">
        <v>70</v>
      </c>
      <c r="D13" s="28" t="s">
        <v>71</v>
      </c>
      <c r="E13" s="29" t="s">
        <v>72</v>
      </c>
      <c r="F13" s="30" t="s">
        <v>73</v>
      </c>
      <c r="G13" s="31"/>
      <c r="H13" s="38"/>
      <c r="I13" s="135"/>
    </row>
    <row r="14" spans="1:16">
      <c r="A14" s="33" t="s">
        <v>74</v>
      </c>
      <c r="B14" s="34">
        <v>189636.60625001579</v>
      </c>
      <c r="C14" s="34"/>
      <c r="D14" s="35">
        <v>189636.60625001579</v>
      </c>
      <c r="E14" s="36">
        <v>952.94777010058181</v>
      </c>
      <c r="F14" s="37">
        <v>0.91984211882487454</v>
      </c>
      <c r="G14" s="31">
        <v>0.9270423068449487</v>
      </c>
      <c r="H14" s="38">
        <f>F14-G14</f>
        <v>-7.2001880200741608E-3</v>
      </c>
      <c r="I14" s="135">
        <f>D14/E14</f>
        <v>199</v>
      </c>
    </row>
    <row r="15" spans="1:16">
      <c r="A15" s="33" t="s">
        <v>75</v>
      </c>
      <c r="B15" s="34">
        <v>4530.2684683002299</v>
      </c>
      <c r="C15" s="34">
        <v>0</v>
      </c>
      <c r="D15" s="35">
        <v>4530.2684683002299</v>
      </c>
      <c r="E15" s="36">
        <v>22.765168182413216</v>
      </c>
      <c r="F15" s="37">
        <v>2.1974300369164382E-2</v>
      </c>
      <c r="G15" s="31"/>
      <c r="H15" s="38"/>
      <c r="I15" s="135"/>
    </row>
    <row r="16" spans="1:16">
      <c r="A16" s="33" t="s">
        <v>76</v>
      </c>
      <c r="B16" s="46">
        <v>5486.0506578715103</v>
      </c>
      <c r="C16" s="34"/>
      <c r="D16" s="35">
        <v>5486.0506578715103</v>
      </c>
      <c r="E16" s="36">
        <v>27.568093758148294</v>
      </c>
      <c r="F16" s="37">
        <v>2.6610371071838917E-2</v>
      </c>
      <c r="G16" s="31"/>
      <c r="H16" s="38"/>
      <c r="I16" s="135"/>
    </row>
    <row r="17" spans="1:10">
      <c r="A17" s="33" t="s">
        <v>77</v>
      </c>
      <c r="B17" s="34">
        <v>744</v>
      </c>
      <c r="C17" s="34">
        <v>0</v>
      </c>
      <c r="D17" s="35">
        <v>744</v>
      </c>
      <c r="E17" s="36">
        <v>3.7386934673366836</v>
      </c>
      <c r="F17" s="37">
        <v>3.6088102921618789E-3</v>
      </c>
      <c r="G17" s="31"/>
      <c r="H17" s="38"/>
      <c r="I17" s="135"/>
    </row>
    <row r="18" spans="1:10">
      <c r="A18" s="33" t="s">
        <v>78</v>
      </c>
      <c r="B18" s="34">
        <v>5737</v>
      </c>
      <c r="C18" s="34">
        <v>15.807347076130783</v>
      </c>
      <c r="D18" s="35">
        <v>5752.807347076131</v>
      </c>
      <c r="E18" s="36">
        <v>28.908579633548396</v>
      </c>
      <c r="F18" s="37">
        <v>2.7904288122248409E-2</v>
      </c>
      <c r="G18" s="31"/>
      <c r="H18" s="38"/>
      <c r="I18" s="135"/>
    </row>
    <row r="19" spans="1:10" ht="16" thickBot="1">
      <c r="A19" s="33" t="s">
        <v>79</v>
      </c>
      <c r="B19" s="34">
        <v>7</v>
      </c>
      <c r="C19" s="34">
        <v>5.3926774324557272</v>
      </c>
      <c r="D19" s="35">
        <v>12.392677432455727</v>
      </c>
      <c r="E19" s="36">
        <v>6.2274760967114207E-2</v>
      </c>
      <c r="F19" s="37">
        <v>6.0111319711946879E-5</v>
      </c>
      <c r="G19" s="31"/>
      <c r="H19" s="38"/>
      <c r="I19" s="135"/>
    </row>
    <row r="20" spans="1:10" ht="17" thickTop="1" thickBot="1">
      <c r="A20" s="40" t="s">
        <v>80</v>
      </c>
      <c r="B20" s="41">
        <f>SUM(B14:B19)</f>
        <v>206140.92537618752</v>
      </c>
      <c r="C20" s="41">
        <f>SUM(C14:C19)</f>
        <v>21.200024508586509</v>
      </c>
      <c r="D20" s="41">
        <f>SUM(D14:D19)</f>
        <v>206162.1254006961</v>
      </c>
      <c r="E20" s="42"/>
      <c r="F20" s="43">
        <f>SUM(F14:F19)</f>
        <v>1</v>
      </c>
      <c r="G20" s="31"/>
      <c r="H20" s="38"/>
      <c r="I20" s="135"/>
    </row>
    <row r="21" spans="1:10" ht="16" thickBot="1">
      <c r="A21" s="44"/>
      <c r="B21" s="44"/>
      <c r="C21" s="44"/>
      <c r="D21" s="44"/>
      <c r="E21" s="44"/>
      <c r="F21" s="45"/>
      <c r="G21" s="31"/>
      <c r="H21" s="38"/>
      <c r="I21" s="135"/>
    </row>
    <row r="22" spans="1:10" ht="16" thickBot="1">
      <c r="A22" s="27" t="s">
        <v>8</v>
      </c>
      <c r="B22" s="28" t="s">
        <v>69</v>
      </c>
      <c r="C22" s="28" t="s">
        <v>70</v>
      </c>
      <c r="D22" s="28" t="s">
        <v>71</v>
      </c>
      <c r="E22" s="29" t="s">
        <v>72</v>
      </c>
      <c r="F22" s="30" t="s">
        <v>73</v>
      </c>
      <c r="G22" s="31"/>
      <c r="H22" s="38"/>
      <c r="I22" s="135"/>
    </row>
    <row r="23" spans="1:10">
      <c r="A23" s="33" t="s">
        <v>74</v>
      </c>
      <c r="B23" s="34">
        <v>66175.578496101778</v>
      </c>
      <c r="C23" s="34"/>
      <c r="D23" s="35">
        <v>66175.578496101778</v>
      </c>
      <c r="E23" s="36">
        <v>859.42309735197114</v>
      </c>
      <c r="F23" s="37">
        <v>0.78751192316661189</v>
      </c>
      <c r="G23" s="31">
        <v>0.7700368648307031</v>
      </c>
      <c r="H23" s="38">
        <f>F23-G23</f>
        <v>1.7475058335908789E-2</v>
      </c>
      <c r="I23" s="135">
        <f>D23/E23</f>
        <v>77</v>
      </c>
    </row>
    <row r="24" spans="1:10">
      <c r="A24" s="33" t="s">
        <v>75</v>
      </c>
      <c r="B24" s="34">
        <v>6397.4066515187797</v>
      </c>
      <c r="C24" s="34">
        <v>0</v>
      </c>
      <c r="D24" s="35">
        <v>6397.4066515187797</v>
      </c>
      <c r="E24" s="36">
        <v>83.083203266477653</v>
      </c>
      <c r="F24" s="37">
        <v>7.6131318077003379E-2</v>
      </c>
      <c r="G24" s="31"/>
      <c r="H24" s="38"/>
      <c r="I24" s="135"/>
    </row>
    <row r="25" spans="1:10">
      <c r="A25" s="33" t="s">
        <v>76</v>
      </c>
      <c r="B25" s="34">
        <v>3318.3470732372189</v>
      </c>
      <c r="C25" s="34"/>
      <c r="D25" s="35">
        <v>3318.3470732372189</v>
      </c>
      <c r="E25" s="36">
        <v>43.095416535548296</v>
      </c>
      <c r="F25" s="37">
        <v>3.9489460383535277E-2</v>
      </c>
      <c r="G25" s="31"/>
      <c r="H25" s="38"/>
      <c r="I25" s="135"/>
    </row>
    <row r="26" spans="1:10">
      <c r="A26" s="33" t="s">
        <v>77</v>
      </c>
      <c r="B26" s="34">
        <v>606</v>
      </c>
      <c r="C26" s="34">
        <v>39.271459694989105</v>
      </c>
      <c r="D26" s="35">
        <v>645.27145969498906</v>
      </c>
      <c r="E26" s="36">
        <v>8.3801488272076501</v>
      </c>
      <c r="F26" s="37">
        <v>7.6789501465236451E-3</v>
      </c>
      <c r="G26" s="31"/>
      <c r="H26" s="38"/>
      <c r="I26" s="135"/>
    </row>
    <row r="27" spans="1:10">
      <c r="A27" s="33" t="s">
        <v>78</v>
      </c>
      <c r="B27" s="34">
        <v>5677</v>
      </c>
      <c r="C27" s="34">
        <v>1471.6292758580282</v>
      </c>
      <c r="D27" s="35">
        <v>7148.6292758580284</v>
      </c>
      <c r="E27" s="36">
        <v>92.839341244909463</v>
      </c>
      <c r="F27" s="37">
        <v>8.5071123169217569E-2</v>
      </c>
      <c r="G27" s="31"/>
      <c r="H27" s="38"/>
      <c r="I27" s="135"/>
    </row>
    <row r="28" spans="1:10" ht="16" thickBot="1">
      <c r="A28" s="33" t="s">
        <v>79</v>
      </c>
      <c r="B28" s="34">
        <v>81</v>
      </c>
      <c r="C28" s="34">
        <v>264.97539661014213</v>
      </c>
      <c r="D28" s="35">
        <v>345.97539661014213</v>
      </c>
      <c r="E28" s="36">
        <v>4.4931869689628847</v>
      </c>
      <c r="F28" s="37">
        <v>4.1172250571082534E-3</v>
      </c>
      <c r="G28" s="31"/>
      <c r="H28" s="38"/>
      <c r="I28" s="135"/>
    </row>
    <row r="29" spans="1:10" ht="17" thickTop="1" thickBot="1">
      <c r="A29" s="40" t="s">
        <v>80</v>
      </c>
      <c r="B29" s="41">
        <f>SUM(B23:B28)</f>
        <v>82255.332220857774</v>
      </c>
      <c r="C29" s="41">
        <f>SUM(C23:C28)</f>
        <v>1775.8761321631594</v>
      </c>
      <c r="D29" s="41">
        <f>SUM(D23:D28)</f>
        <v>84031.208353020935</v>
      </c>
      <c r="E29" s="42"/>
      <c r="F29" s="43">
        <f>SUM(F23:F28)</f>
        <v>1</v>
      </c>
      <c r="G29" s="31"/>
      <c r="H29" s="38"/>
      <c r="I29" s="135"/>
    </row>
    <row r="30" spans="1:10" ht="16" thickBot="1">
      <c r="A30" s="44"/>
      <c r="B30" s="44"/>
      <c r="C30" s="44"/>
      <c r="D30" s="44"/>
      <c r="E30" s="44"/>
      <c r="F30" s="45"/>
      <c r="G30" s="31"/>
      <c r="H30" s="38"/>
      <c r="I30" s="135"/>
    </row>
    <row r="31" spans="1:10" ht="16" thickBot="1">
      <c r="A31" s="27" t="s">
        <v>9</v>
      </c>
      <c r="B31" s="28" t="s">
        <v>69</v>
      </c>
      <c r="C31" s="28" t="s">
        <v>70</v>
      </c>
      <c r="D31" s="28" t="s">
        <v>71</v>
      </c>
      <c r="E31" s="29" t="s">
        <v>72</v>
      </c>
      <c r="F31" s="30" t="s">
        <v>73</v>
      </c>
      <c r="G31" s="31"/>
      <c r="H31" s="38"/>
      <c r="I31" s="135"/>
    </row>
    <row r="32" spans="1:10">
      <c r="A32" s="33" t="s">
        <v>74</v>
      </c>
      <c r="B32">
        <f>444015+17135+8869</f>
        <v>470019</v>
      </c>
      <c r="C32" s="34">
        <f>J32-B32</f>
        <v>417435</v>
      </c>
      <c r="D32" s="35">
        <v>887454</v>
      </c>
      <c r="E32" s="36">
        <v>1030.7247386759582</v>
      </c>
      <c r="F32" s="37">
        <v>0.9009199573616663</v>
      </c>
      <c r="G32" s="31">
        <v>0.90099861899011879</v>
      </c>
      <c r="H32" s="38">
        <f>F32-G32</f>
        <v>-7.8661628452492138E-5</v>
      </c>
      <c r="I32" s="135">
        <f>D32/E32</f>
        <v>861</v>
      </c>
      <c r="J32" s="34">
        <v>887454</v>
      </c>
    </row>
    <row r="33" spans="1:9">
      <c r="A33" s="33" t="s">
        <v>75</v>
      </c>
      <c r="B33" s="34">
        <v>19658</v>
      </c>
      <c r="C33" s="34">
        <v>0</v>
      </c>
      <c r="D33" s="35">
        <v>19658</v>
      </c>
      <c r="E33" s="36">
        <v>22.831591173054587</v>
      </c>
      <c r="F33" s="37">
        <v>1.9956284519327915E-2</v>
      </c>
      <c r="G33" s="31"/>
      <c r="H33" s="38"/>
      <c r="I33" s="135"/>
    </row>
    <row r="34" spans="1:9">
      <c r="A34" s="33" t="s">
        <v>76</v>
      </c>
      <c r="B34" s="34">
        <v>23738</v>
      </c>
      <c r="C34" s="34"/>
      <c r="D34" s="35">
        <v>23738</v>
      </c>
      <c r="E34" s="36">
        <v>27.570267131242741</v>
      </c>
      <c r="F34" s="37">
        <v>2.4098193199705263E-2</v>
      </c>
      <c r="G34" s="31"/>
      <c r="H34" s="38"/>
      <c r="I34" s="135"/>
    </row>
    <row r="35" spans="1:9">
      <c r="A35" s="33" t="s">
        <v>77</v>
      </c>
      <c r="B35" s="34">
        <v>3914</v>
      </c>
      <c r="C35" s="34">
        <v>3230.8823529411766</v>
      </c>
      <c r="D35" s="35">
        <v>7144.8823529411766</v>
      </c>
      <c r="E35" s="36">
        <v>8.2983534877365575</v>
      </c>
      <c r="F35" s="37">
        <v>7.2532966269416629E-3</v>
      </c>
      <c r="G35" s="31"/>
      <c r="H35" s="38"/>
      <c r="I35" s="135"/>
    </row>
    <row r="36" spans="1:9">
      <c r="A36" s="33" t="s">
        <v>78</v>
      </c>
      <c r="B36" s="34">
        <v>30332</v>
      </c>
      <c r="C36" s="34">
        <v>13357.705249253171</v>
      </c>
      <c r="D36" s="35">
        <v>43689.705249253173</v>
      </c>
      <c r="E36" s="36">
        <v>50.742979383569306</v>
      </c>
      <c r="F36" s="37">
        <v>4.4352639562502322E-2</v>
      </c>
      <c r="G36" s="31"/>
      <c r="H36" s="38"/>
      <c r="I36" s="135"/>
    </row>
    <row r="37" spans="1:9" ht="16" thickBot="1">
      <c r="A37" s="33" t="s">
        <v>79</v>
      </c>
      <c r="B37" s="34">
        <v>44</v>
      </c>
      <c r="C37" s="34">
        <v>3324.5158931470137</v>
      </c>
      <c r="D37" s="35">
        <v>3368.5158931470137</v>
      </c>
      <c r="E37" s="36">
        <v>3.9123297249094238</v>
      </c>
      <c r="F37" s="37">
        <v>3.4196287298565364E-3</v>
      </c>
      <c r="G37" s="31"/>
      <c r="H37" s="38"/>
      <c r="I37" s="135"/>
    </row>
    <row r="38" spans="1:9" ht="17" thickTop="1" thickBot="1">
      <c r="A38" s="40" t="s">
        <v>80</v>
      </c>
      <c r="B38" s="41">
        <f>SUM(B32:B37)</f>
        <v>547705</v>
      </c>
      <c r="C38" s="41">
        <f>SUM(C32:C37)</f>
        <v>437348.10349534143</v>
      </c>
      <c r="D38" s="41">
        <f>SUM(D32:D37)</f>
        <v>985053.10349534138</v>
      </c>
      <c r="E38" s="42"/>
      <c r="F38" s="43">
        <f>SUM(F32:F37)</f>
        <v>1</v>
      </c>
      <c r="G38" s="31"/>
      <c r="H38" s="38"/>
      <c r="I38" s="135"/>
    </row>
    <row r="39" spans="1:9" ht="16" thickBot="1">
      <c r="A39" s="44"/>
      <c r="B39" s="44"/>
      <c r="C39" s="44"/>
      <c r="D39" s="44"/>
      <c r="E39" s="44"/>
      <c r="F39" s="45"/>
      <c r="G39" s="31"/>
      <c r="H39" s="38"/>
      <c r="I39" s="135"/>
    </row>
    <row r="40" spans="1:9" ht="16" thickBot="1">
      <c r="A40" s="27" t="s">
        <v>10</v>
      </c>
      <c r="B40" s="28" t="s">
        <v>69</v>
      </c>
      <c r="C40" s="28" t="s">
        <v>70</v>
      </c>
      <c r="D40" s="28" t="s">
        <v>71</v>
      </c>
      <c r="E40" s="29" t="s">
        <v>72</v>
      </c>
      <c r="F40" s="30" t="s">
        <v>73</v>
      </c>
      <c r="G40" s="31"/>
      <c r="H40" s="38"/>
      <c r="I40" s="135"/>
    </row>
    <row r="41" spans="1:9">
      <c r="A41" s="33" t="s">
        <v>74</v>
      </c>
      <c r="B41" s="34">
        <v>37693</v>
      </c>
      <c r="C41" s="34">
        <v>2001412.411764706</v>
      </c>
      <c r="D41" s="35">
        <v>2039105.411764706</v>
      </c>
      <c r="E41" s="36">
        <v>1001.0335845678478</v>
      </c>
      <c r="F41" s="37">
        <v>0.90344237970934793</v>
      </c>
      <c r="G41" s="31">
        <v>0.90327909598236966</v>
      </c>
      <c r="H41" s="38">
        <f>F41-G41</f>
        <v>1.6328372697826943E-4</v>
      </c>
      <c r="I41" s="135">
        <f>D41/E41</f>
        <v>2037</v>
      </c>
    </row>
    <row r="42" spans="1:9">
      <c r="A42" s="33" t="s">
        <v>75</v>
      </c>
      <c r="B42" s="34">
        <v>19937</v>
      </c>
      <c r="C42" s="34">
        <v>11766.40956862745</v>
      </c>
      <c r="D42" s="35">
        <v>31703.409568627452</v>
      </c>
      <c r="E42" s="36">
        <v>15.5637749477798</v>
      </c>
      <c r="F42" s="37">
        <v>1.404645567626297E-2</v>
      </c>
      <c r="G42" s="31"/>
      <c r="H42" s="38"/>
      <c r="I42" s="135"/>
    </row>
    <row r="43" spans="1:9">
      <c r="A43" s="33" t="s">
        <v>76</v>
      </c>
      <c r="B43" s="34">
        <v>0</v>
      </c>
      <c r="C43" s="34">
        <v>62043.784764705881</v>
      </c>
      <c r="D43" s="35">
        <v>62043.784764705881</v>
      </c>
      <c r="E43" s="36">
        <v>30.458411764705883</v>
      </c>
      <c r="F43" s="37">
        <v>2.7489007792633167E-2</v>
      </c>
      <c r="G43" s="31"/>
      <c r="H43" s="38"/>
      <c r="I43" s="135"/>
    </row>
    <row r="44" spans="1:9">
      <c r="A44" s="33" t="s">
        <v>77</v>
      </c>
      <c r="B44" s="34">
        <v>258</v>
      </c>
      <c r="C44" s="34">
        <v>22568.725490196077</v>
      </c>
      <c r="D44" s="35">
        <v>22826.725490196077</v>
      </c>
      <c r="E44" s="36">
        <v>11.206050805201805</v>
      </c>
      <c r="F44" s="37">
        <v>1.0113567978806599E-2</v>
      </c>
      <c r="G44" s="31"/>
      <c r="H44" s="38"/>
      <c r="I44" s="135"/>
    </row>
    <row r="45" spans="1:9">
      <c r="A45" s="33" t="s">
        <v>78</v>
      </c>
      <c r="B45" s="34">
        <v>29438</v>
      </c>
      <c r="C45" s="34">
        <v>55894.947567281277</v>
      </c>
      <c r="D45" s="35">
        <v>85332.947567281284</v>
      </c>
      <c r="E45" s="36">
        <v>41.89148137814496</v>
      </c>
      <c r="F45" s="37">
        <v>3.7807462416118327E-2</v>
      </c>
      <c r="G45" s="31"/>
      <c r="H45" s="38"/>
      <c r="I45" s="135"/>
    </row>
    <row r="46" spans="1:9" ht="16" thickBot="1">
      <c r="A46" s="33" t="s">
        <v>79</v>
      </c>
      <c r="B46" s="34">
        <v>877</v>
      </c>
      <c r="C46" s="34">
        <v>15150.524999696394</v>
      </c>
      <c r="D46" s="35">
        <v>16027.524999696394</v>
      </c>
      <c r="E46" s="36">
        <v>7.8682007853197806</v>
      </c>
      <c r="F46" s="37">
        <v>7.1011264268311539E-3</v>
      </c>
      <c r="G46" s="31"/>
      <c r="H46" s="38"/>
      <c r="I46" s="135"/>
    </row>
    <row r="47" spans="1:9" ht="17" thickTop="1" thickBot="1">
      <c r="A47" s="40" t="s">
        <v>80</v>
      </c>
      <c r="B47" s="41">
        <f>SUM(B41:B46)</f>
        <v>88203</v>
      </c>
      <c r="C47" s="41">
        <f>SUM(C41:C46)</f>
        <v>2168836.8041552128</v>
      </c>
      <c r="D47" s="41">
        <f>SUM(D41:D46)</f>
        <v>2257039.8041552128</v>
      </c>
      <c r="E47" s="42"/>
      <c r="F47" s="43">
        <f>SUM(F41:F46)</f>
        <v>1.0000000000000002</v>
      </c>
      <c r="G47" s="31"/>
      <c r="H47" s="38"/>
      <c r="I47" s="135"/>
    </row>
    <row r="48" spans="1:9" ht="16" thickBot="1">
      <c r="A48" s="44"/>
      <c r="B48" s="44"/>
      <c r="C48" s="44"/>
      <c r="D48" s="44"/>
      <c r="E48" s="44"/>
      <c r="F48" s="45"/>
      <c r="G48" s="31"/>
      <c r="H48" s="38"/>
      <c r="I48" s="135"/>
    </row>
    <row r="49" spans="1:10" ht="16" thickBot="1">
      <c r="A49" s="27" t="s">
        <v>12</v>
      </c>
      <c r="B49" s="28" t="s">
        <v>69</v>
      </c>
      <c r="C49" s="28" t="s">
        <v>70</v>
      </c>
      <c r="D49" s="28" t="s">
        <v>71</v>
      </c>
      <c r="E49" s="29" t="s">
        <v>72</v>
      </c>
      <c r="F49" s="30" t="s">
        <v>73</v>
      </c>
      <c r="G49" s="31"/>
      <c r="H49" s="38"/>
      <c r="I49" s="135"/>
    </row>
    <row r="50" spans="1:10">
      <c r="A50" s="33" t="s">
        <v>74</v>
      </c>
      <c r="B50">
        <f>100500+14956</f>
        <v>115456</v>
      </c>
      <c r="C50" s="34">
        <f>J50-B50</f>
        <v>850782</v>
      </c>
      <c r="D50" s="35">
        <v>966238</v>
      </c>
      <c r="E50" s="36">
        <v>1006.4979166666667</v>
      </c>
      <c r="F50" s="37">
        <v>0.8756948091066693</v>
      </c>
      <c r="G50" s="31">
        <v>0.87481792648566548</v>
      </c>
      <c r="H50" s="38">
        <f>F50-G50</f>
        <v>8.7688262100382719E-4</v>
      </c>
      <c r="I50" s="135">
        <f>D50/E50</f>
        <v>960</v>
      </c>
      <c r="J50" s="34">
        <v>966238</v>
      </c>
    </row>
    <row r="51" spans="1:10">
      <c r="A51" s="33" t="s">
        <v>75</v>
      </c>
      <c r="B51" s="34">
        <v>15644</v>
      </c>
      <c r="C51" s="34">
        <v>0</v>
      </c>
      <c r="D51" s="35">
        <v>15644</v>
      </c>
      <c r="E51" s="36">
        <v>16.295833333333334</v>
      </c>
      <c r="F51" s="37">
        <v>1.4178048879949593E-2</v>
      </c>
      <c r="G51" s="31"/>
      <c r="H51" s="38"/>
      <c r="I51" s="135"/>
    </row>
    <row r="52" spans="1:10">
      <c r="A52" s="33" t="s">
        <v>76</v>
      </c>
      <c r="B52" s="34">
        <v>20577</v>
      </c>
      <c r="C52" s="34"/>
      <c r="D52" s="35">
        <v>20577</v>
      </c>
      <c r="E52" s="36">
        <v>21.434374999999999</v>
      </c>
      <c r="F52" s="37">
        <v>1.8648792623544026E-2</v>
      </c>
      <c r="G52" s="31"/>
      <c r="H52" s="38"/>
      <c r="I52" s="135"/>
    </row>
    <row r="53" spans="1:10">
      <c r="A53" s="33" t="s">
        <v>77</v>
      </c>
      <c r="B53" s="34">
        <v>809</v>
      </c>
      <c r="C53" s="34">
        <v>13259.53125</v>
      </c>
      <c r="D53" s="35">
        <v>14068.53125</v>
      </c>
      <c r="E53" s="36">
        <v>14.654720052083333</v>
      </c>
      <c r="F53" s="37">
        <v>1.2750212460470362E-2</v>
      </c>
      <c r="G53" s="31"/>
      <c r="H53" s="38"/>
      <c r="I53" s="135"/>
    </row>
    <row r="54" spans="1:10">
      <c r="A54" s="33" t="s">
        <v>78</v>
      </c>
      <c r="B54" s="34">
        <v>39701</v>
      </c>
      <c r="C54" s="34">
        <v>30105.297926716637</v>
      </c>
      <c r="D54" s="35">
        <v>69806.297926716637</v>
      </c>
      <c r="E54" s="36">
        <v>72.71489367366317</v>
      </c>
      <c r="F54" s="37">
        <v>6.3264964467739215E-2</v>
      </c>
      <c r="G54" s="25"/>
      <c r="H54" s="38"/>
      <c r="I54" s="135"/>
    </row>
    <row r="55" spans="1:10" ht="16" thickBot="1">
      <c r="A55" s="33" t="s">
        <v>79</v>
      </c>
      <c r="B55" s="34">
        <v>1270</v>
      </c>
      <c r="C55" s="34">
        <v>15792</v>
      </c>
      <c r="D55" s="35">
        <v>17062</v>
      </c>
      <c r="E55" s="36">
        <v>17.772916666666667</v>
      </c>
      <c r="F55" s="37">
        <v>1.5463172461627457E-2</v>
      </c>
      <c r="G55" s="25"/>
      <c r="H55" s="38"/>
      <c r="I55" s="135"/>
    </row>
    <row r="56" spans="1:10" ht="17" thickTop="1" thickBot="1">
      <c r="A56" s="40" t="s">
        <v>80</v>
      </c>
      <c r="B56" s="41">
        <f>SUM(B50:B55)</f>
        <v>193457</v>
      </c>
      <c r="C56" s="41">
        <f>SUM(C50:C55)</f>
        <v>909938.82917671662</v>
      </c>
      <c r="D56" s="41">
        <f>SUM(D50:D55)</f>
        <v>1103395.8291767167</v>
      </c>
      <c r="E56" s="42"/>
      <c r="F56" s="43">
        <f>SUM(F50:F55)</f>
        <v>0.99999999999999989</v>
      </c>
      <c r="G56" s="25"/>
      <c r="H56" s="38"/>
      <c r="I56" s="135"/>
    </row>
    <row r="57" spans="1:10" ht="16" thickBot="1">
      <c r="A57" s="44"/>
      <c r="B57" s="44"/>
      <c r="C57" s="44"/>
      <c r="D57" s="44"/>
      <c r="E57" s="44"/>
      <c r="F57" s="45"/>
      <c r="G57" s="25"/>
      <c r="H57" s="38"/>
      <c r="I57" s="135"/>
    </row>
    <row r="58" spans="1:10" ht="16" thickBot="1">
      <c r="A58" s="27" t="s">
        <v>81</v>
      </c>
      <c r="B58" s="28" t="s">
        <v>69</v>
      </c>
      <c r="C58" s="28" t="s">
        <v>70</v>
      </c>
      <c r="D58" s="28" t="s">
        <v>71</v>
      </c>
      <c r="E58" s="29" t="s">
        <v>72</v>
      </c>
      <c r="F58" s="30" t="s">
        <v>73</v>
      </c>
      <c r="G58" s="47"/>
      <c r="H58" s="25"/>
      <c r="I58" s="135"/>
    </row>
    <row r="59" spans="1:10">
      <c r="A59" s="33" t="s">
        <v>74</v>
      </c>
      <c r="B59" s="34">
        <v>1630855.1533941</v>
      </c>
      <c r="C59" s="34">
        <v>2001412.411764706</v>
      </c>
      <c r="D59" s="35">
        <v>3632267.5651588039</v>
      </c>
      <c r="E59" s="36">
        <v>999.2482985306201</v>
      </c>
      <c r="F59" s="37">
        <v>0.90597838364445449</v>
      </c>
      <c r="G59" s="31">
        <v>0.90394765201927185</v>
      </c>
      <c r="H59" s="38">
        <f>F59-G59</f>
        <v>2.0307316251826357E-3</v>
      </c>
      <c r="I59" s="135">
        <f>D59/E59</f>
        <v>3635</v>
      </c>
    </row>
    <row r="60" spans="1:10">
      <c r="A60" s="33" t="s">
        <v>75</v>
      </c>
      <c r="B60" s="34">
        <v>62901.593348481227</v>
      </c>
      <c r="C60" s="34">
        <v>11766.40956862745</v>
      </c>
      <c r="D60" s="35">
        <v>74668.002917108679</v>
      </c>
      <c r="E60" s="36">
        <v>20.541403828640625</v>
      </c>
      <c r="F60" s="37">
        <v>1.8624067577423624E-2</v>
      </c>
      <c r="G60" s="47"/>
      <c r="H60" s="25"/>
      <c r="I60" s="135"/>
    </row>
    <row r="61" spans="1:10">
      <c r="A61" s="33" t="s">
        <v>76</v>
      </c>
      <c r="B61" s="34">
        <v>44024.237096827899</v>
      </c>
      <c r="C61" s="34">
        <v>62043.784764705881</v>
      </c>
      <c r="D61" s="35">
        <v>106068.02186153378</v>
      </c>
      <c r="E61" s="36">
        <v>29.179648380064314</v>
      </c>
      <c r="F61" s="37">
        <v>2.6456017702064773E-2</v>
      </c>
      <c r="G61" s="47"/>
      <c r="H61" s="25"/>
      <c r="I61" s="135"/>
    </row>
    <row r="62" spans="1:10">
      <c r="A62" s="33" t="s">
        <v>77</v>
      </c>
      <c r="B62" s="34">
        <v>7359</v>
      </c>
      <c r="C62" s="34">
        <v>25854.480881133946</v>
      </c>
      <c r="D62" s="35">
        <v>33213.480881133946</v>
      </c>
      <c r="E62" s="36">
        <v>9.1371336674371246</v>
      </c>
      <c r="F62" s="37">
        <v>8.284272891273127E-3</v>
      </c>
      <c r="G62" s="47"/>
      <c r="H62" s="25"/>
      <c r="I62" s="135"/>
    </row>
    <row r="63" spans="1:10">
      <c r="A63" s="33" t="s">
        <v>78</v>
      </c>
      <c r="B63" s="34">
        <v>72409</v>
      </c>
      <c r="C63" s="34">
        <v>70996.73463408614</v>
      </c>
      <c r="D63" s="35">
        <v>143405.73463408614</v>
      </c>
      <c r="E63" s="36">
        <v>39.451371288606914</v>
      </c>
      <c r="F63" s="37">
        <v>3.5768977185317755E-2</v>
      </c>
      <c r="G63" s="47"/>
      <c r="H63" s="25"/>
      <c r="I63" s="135"/>
    </row>
    <row r="64" spans="1:10" ht="16" thickBot="1">
      <c r="A64" s="33" t="s">
        <v>79</v>
      </c>
      <c r="B64" s="34">
        <v>968</v>
      </c>
      <c r="C64" s="34">
        <v>18630.198858033269</v>
      </c>
      <c r="D64" s="35">
        <v>19598.198858033269</v>
      </c>
      <c r="E64" s="36">
        <v>5.3915265083997985</v>
      </c>
      <c r="F64" s="37">
        <v>4.8882809994663197E-3</v>
      </c>
      <c r="G64" s="47"/>
      <c r="H64" s="25"/>
      <c r="I64" s="135"/>
    </row>
    <row r="65" spans="1:10" ht="17" thickTop="1" thickBot="1">
      <c r="A65" s="40" t="s">
        <v>80</v>
      </c>
      <c r="B65" s="41">
        <f>SUM(B59:B64)</f>
        <v>1818516.9838394092</v>
      </c>
      <c r="C65" s="41">
        <f>SUM(C59:C64)</f>
        <v>2190704.0204712925</v>
      </c>
      <c r="D65" s="41">
        <f>SUM(D59:D64)</f>
        <v>4009221.0043106996</v>
      </c>
      <c r="E65" s="42"/>
      <c r="F65" s="43">
        <f>SUM(F59:F64)</f>
        <v>1</v>
      </c>
      <c r="G65" s="47"/>
      <c r="H65" s="25"/>
      <c r="I65" s="135"/>
    </row>
    <row r="66" spans="1:10" ht="16" thickBot="1">
      <c r="I66" s="135"/>
    </row>
    <row r="67" spans="1:10" ht="16" thickBot="1">
      <c r="A67" s="122" t="s">
        <v>90</v>
      </c>
      <c r="B67" s="123" t="s">
        <v>69</v>
      </c>
      <c r="C67" s="123" t="s">
        <v>70</v>
      </c>
      <c r="D67" s="123" t="s">
        <v>71</v>
      </c>
      <c r="E67" s="133" t="s">
        <v>72</v>
      </c>
      <c r="F67" s="124" t="s">
        <v>73</v>
      </c>
      <c r="G67" s="134" t="s">
        <v>91</v>
      </c>
      <c r="H67" s="135"/>
      <c r="I67" s="135"/>
      <c r="J67" s="135"/>
    </row>
    <row r="68" spans="1:10">
      <c r="A68" s="126" t="s">
        <v>74</v>
      </c>
      <c r="B68" s="125">
        <f>B5+B14+B23+B32+B41+B50</f>
        <v>1395051.7318901997</v>
      </c>
      <c r="C68" s="125">
        <f>C5+C14+C23+C32+C41+C50</f>
        <v>3269629.411764706</v>
      </c>
      <c r="D68" s="125">
        <f t="shared" ref="D68" si="0">D5+D14+D23+D32+D41+D50</f>
        <v>4664681.1436549053</v>
      </c>
      <c r="E68" s="127">
        <f t="shared" ref="E68:E73" si="1">D68/$J$68</f>
        <v>998.43346396723143</v>
      </c>
      <c r="F68" s="128">
        <f t="shared" ref="F68:F73" si="2">D68/$D$74</f>
        <v>0.89763268670449903</v>
      </c>
      <c r="G68" s="135"/>
      <c r="H68" s="135"/>
      <c r="I68" s="135"/>
      <c r="J68" s="135">
        <f>SUM(I5:I50)</f>
        <v>4672</v>
      </c>
    </row>
    <row r="69" spans="1:10">
      <c r="A69" s="126" t="s">
        <v>75</v>
      </c>
      <c r="B69" s="125">
        <f t="shared" ref="B69:D69" si="3">B6+B15+B24+B33+B42+B51</f>
        <v>84943.000000000015</v>
      </c>
      <c r="C69" s="125">
        <f t="shared" si="3"/>
        <v>11766.40956862745</v>
      </c>
      <c r="D69" s="125">
        <f t="shared" si="3"/>
        <v>96709.409568627467</v>
      </c>
      <c r="E69" s="127">
        <f t="shared" si="1"/>
        <v>20.699788006983617</v>
      </c>
      <c r="F69" s="128">
        <f t="shared" si="2"/>
        <v>1.8609959495039616E-2</v>
      </c>
      <c r="G69" s="135"/>
      <c r="H69" s="135"/>
      <c r="I69" s="135"/>
      <c r="J69" s="135"/>
    </row>
    <row r="70" spans="1:10">
      <c r="A70" s="126" t="s">
        <v>76</v>
      </c>
      <c r="B70" s="125">
        <f t="shared" ref="B70:D70" si="4">B7+B16+B25+B34+B43+B52</f>
        <v>67919.584170065122</v>
      </c>
      <c r="C70" s="125">
        <f t="shared" si="4"/>
        <v>62043.784764705881</v>
      </c>
      <c r="D70" s="125">
        <f t="shared" si="4"/>
        <v>129963.368934771</v>
      </c>
      <c r="E70" s="127">
        <f t="shared" si="1"/>
        <v>27.817501912408176</v>
      </c>
      <c r="F70" s="128">
        <f t="shared" si="2"/>
        <v>2.5009076598680593E-2</v>
      </c>
      <c r="G70" s="135"/>
      <c r="H70" s="135"/>
      <c r="I70" s="135"/>
      <c r="J70" s="135"/>
    </row>
    <row r="71" spans="1:10">
      <c r="A71" s="126" t="s">
        <v>77</v>
      </c>
      <c r="B71" s="125">
        <f t="shared" ref="B71:D71" si="5">B8+B17+B26+B35+B44+B53</f>
        <v>8774</v>
      </c>
      <c r="C71" s="125">
        <f t="shared" si="5"/>
        <v>39153.283590828934</v>
      </c>
      <c r="D71" s="125">
        <f t="shared" si="5"/>
        <v>47927.283590828934</v>
      </c>
      <c r="E71" s="127">
        <f t="shared" si="1"/>
        <v>10.258408302831535</v>
      </c>
      <c r="F71" s="128">
        <f t="shared" si="2"/>
        <v>9.2227303455892848E-3</v>
      </c>
      <c r="G71" s="135"/>
      <c r="H71" s="135"/>
      <c r="I71" s="135"/>
      <c r="J71" s="135"/>
    </row>
    <row r="72" spans="1:10">
      <c r="A72" s="126" t="s">
        <v>78</v>
      </c>
      <c r="B72" s="125">
        <f t="shared" ref="B72:D72" si="6">B9+B18+B27+B36+B45+B54</f>
        <v>117787</v>
      </c>
      <c r="C72" s="125">
        <f t="shared" si="6"/>
        <v>102573.6618366608</v>
      </c>
      <c r="D72" s="125">
        <f t="shared" si="6"/>
        <v>220360.66183666082</v>
      </c>
      <c r="E72" s="127">
        <f t="shared" si="1"/>
        <v>47.16623755065514</v>
      </c>
      <c r="F72" s="128">
        <f t="shared" si="2"/>
        <v>4.2404384530651845E-2</v>
      </c>
      <c r="G72" s="135"/>
      <c r="H72" s="135"/>
      <c r="I72" s="135"/>
      <c r="J72" s="135"/>
    </row>
    <row r="73" spans="1:10" ht="16" thickBot="1">
      <c r="A73" s="126" t="s">
        <v>79</v>
      </c>
      <c r="B73" s="125">
        <f t="shared" ref="B73:D73" si="7">B10+B19+B28+B37+B46+B55</f>
        <v>2319</v>
      </c>
      <c r="C73" s="125">
        <f t="shared" si="7"/>
        <v>34687.174254643411</v>
      </c>
      <c r="D73" s="125">
        <f t="shared" si="7"/>
        <v>37006.174254643411</v>
      </c>
      <c r="E73" s="127">
        <f t="shared" si="1"/>
        <v>7.9208420921753877</v>
      </c>
      <c r="F73" s="128">
        <f t="shared" si="2"/>
        <v>7.1211623255396303E-3</v>
      </c>
      <c r="G73" s="135"/>
      <c r="H73" s="135"/>
      <c r="I73" s="135"/>
      <c r="J73" s="135"/>
    </row>
    <row r="74" spans="1:10" ht="17" thickTop="1" thickBot="1">
      <c r="A74" s="129" t="s">
        <v>80</v>
      </c>
      <c r="B74" s="130">
        <f>SUM(B68:B73)</f>
        <v>1676794.3160602648</v>
      </c>
      <c r="C74" s="130">
        <f>SUM(C68:C73)</f>
        <v>3519853.7257801723</v>
      </c>
      <c r="D74" s="130">
        <f>SUM(D68:D73)</f>
        <v>5196648.0418404369</v>
      </c>
      <c r="E74" s="136"/>
      <c r="F74" s="132">
        <f>SUM(F68:F73)</f>
        <v>1</v>
      </c>
      <c r="G74" s="135"/>
      <c r="H74" s="135"/>
      <c r="I74" s="135"/>
      <c r="J74" s="135"/>
    </row>
  </sheetData>
  <conditionalFormatting sqref="F5">
    <cfRule type="cellIs" dxfId="4" priority="5" operator="lessThan">
      <formula>#REF!</formula>
    </cfRule>
  </conditionalFormatting>
  <conditionalFormatting sqref="H5 H14 H23 H32 H41 H50">
    <cfRule type="cellIs" dxfId="3" priority="3" operator="lessThan">
      <formula>0</formula>
    </cfRule>
    <cfRule type="cellIs" dxfId="2" priority="4" operator="greaterThan">
      <formula>0</formula>
    </cfRule>
  </conditionalFormatting>
  <conditionalFormatting sqref="H59">
    <cfRule type="cellIs" dxfId="1" priority="1" operator="lessThan">
      <formula>0</formula>
    </cfRule>
    <cfRule type="cellIs" dxfId="0" priority="2" operator="greaterThan">
      <formula>0</formula>
    </cfRule>
  </conditionalFormatting>
  <pageMargins left="0.75" right="0.75" top="1" bottom="1" header="0.5" footer="0.5"/>
  <pageSetup orientation="portrait" horizontalDpi="4294967292" verticalDpi="4294967292"/>
  <legacyDrawing r:id="rId1"/>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2"/>
  <sheetViews>
    <sheetView workbookViewId="0">
      <selection activeCell="S92" sqref="S92"/>
    </sheetView>
  </sheetViews>
  <sheetFormatPr baseColWidth="10" defaultColWidth="8.83203125" defaultRowHeight="15" outlineLevelRow="2" outlineLevelCol="2" x14ac:dyDescent="0"/>
  <cols>
    <col min="1" max="7" width="3" style="113" customWidth="1"/>
    <col min="8" max="8" width="25.6640625" style="113" customWidth="1"/>
    <col min="9" max="10" width="15.5" style="114" customWidth="1" outlineLevel="2"/>
    <col min="11" max="11" width="3.6640625" style="114" customWidth="1" outlineLevel="2"/>
    <col min="12" max="13" width="15.5" style="114" customWidth="1" outlineLevel="2"/>
    <col min="14" max="14" width="3.6640625" style="114" customWidth="1" outlineLevel="2"/>
    <col min="15" max="16" width="15.5" style="114" customWidth="1" outlineLevel="1"/>
    <col min="17" max="17" width="3.6640625" style="114" customWidth="1" outlineLevel="1"/>
    <col min="18" max="18" width="15.5" style="114" customWidth="1" outlineLevel="1"/>
    <col min="19" max="19" width="15.5" style="95" customWidth="1"/>
  </cols>
  <sheetData>
    <row r="1" spans="1:19">
      <c r="A1" s="113" t="s">
        <v>299</v>
      </c>
    </row>
    <row r="2" spans="1:19">
      <c r="A2" s="90" t="s">
        <v>94</v>
      </c>
      <c r="B2" s="91"/>
      <c r="C2" s="91"/>
      <c r="D2" s="91"/>
      <c r="E2" s="91"/>
      <c r="F2" s="91"/>
      <c r="G2" s="91"/>
      <c r="H2" s="91"/>
      <c r="I2" s="92" t="s">
        <v>82</v>
      </c>
      <c r="J2" s="93"/>
      <c r="K2" s="93"/>
      <c r="L2" s="94"/>
      <c r="M2" s="94"/>
      <c r="N2" s="94"/>
      <c r="O2" s="94"/>
      <c r="P2" s="94"/>
      <c r="Q2" s="94"/>
      <c r="R2" s="94"/>
    </row>
    <row r="3" spans="1:19" ht="17">
      <c r="A3" s="96" t="s">
        <v>95</v>
      </c>
      <c r="B3" s="91"/>
      <c r="C3" s="91"/>
      <c r="D3" s="91"/>
      <c r="E3" s="91"/>
      <c r="F3" s="91"/>
      <c r="G3" s="91"/>
      <c r="H3" s="91"/>
      <c r="I3" s="97" t="s">
        <v>96</v>
      </c>
      <c r="J3" s="94"/>
      <c r="K3" s="94"/>
      <c r="L3" s="94"/>
      <c r="M3" s="94"/>
      <c r="N3" s="94"/>
      <c r="O3" s="94"/>
      <c r="P3" s="94"/>
      <c r="Q3" s="94"/>
      <c r="R3" s="94"/>
    </row>
    <row r="4" spans="1:19">
      <c r="A4" s="98" t="s">
        <v>97</v>
      </c>
      <c r="B4" s="91"/>
      <c r="C4" s="91"/>
      <c r="D4" s="91"/>
      <c r="E4" s="91"/>
      <c r="F4" s="91"/>
      <c r="G4" s="91"/>
      <c r="H4" s="91"/>
      <c r="I4" s="97" t="s">
        <v>98</v>
      </c>
      <c r="J4" s="94"/>
      <c r="K4" s="94"/>
      <c r="L4" s="94"/>
      <c r="M4" s="94"/>
      <c r="N4" s="94"/>
      <c r="O4" s="94"/>
      <c r="P4" s="94"/>
      <c r="Q4" s="94"/>
      <c r="R4" s="94"/>
    </row>
    <row r="5" spans="1:19" s="100" customFormat="1">
      <c r="A5" s="99"/>
      <c r="B5" s="99"/>
      <c r="C5" s="99"/>
      <c r="D5" s="99"/>
      <c r="E5" s="99"/>
      <c r="F5" s="99"/>
      <c r="G5" s="99"/>
      <c r="H5" s="99"/>
      <c r="O5" s="101"/>
      <c r="P5" s="101"/>
      <c r="Q5" s="101"/>
      <c r="R5" s="101"/>
      <c r="S5" s="102"/>
    </row>
    <row r="6" spans="1:19" s="106" customFormat="1" ht="22" thickBot="1">
      <c r="A6" s="103"/>
      <c r="B6" s="103"/>
      <c r="C6" s="103"/>
      <c r="D6" s="103"/>
      <c r="E6" s="103"/>
      <c r="F6" s="103"/>
      <c r="G6" s="103"/>
      <c r="H6" s="103"/>
      <c r="I6" s="99" t="s">
        <v>99</v>
      </c>
      <c r="J6" s="99" t="s">
        <v>100</v>
      </c>
      <c r="K6" s="99"/>
      <c r="L6" s="99" t="s">
        <v>101</v>
      </c>
      <c r="M6" s="99" t="s">
        <v>100</v>
      </c>
      <c r="N6" s="99"/>
      <c r="O6" s="104" t="s">
        <v>102</v>
      </c>
      <c r="P6" s="104" t="s">
        <v>100</v>
      </c>
      <c r="Q6" s="104"/>
      <c r="R6" s="104" t="s">
        <v>103</v>
      </c>
      <c r="S6" s="105" t="s">
        <v>100</v>
      </c>
    </row>
    <row r="7" spans="1:19" ht="16" thickTop="1">
      <c r="A7" s="107"/>
      <c r="B7" s="107" t="s">
        <v>104</v>
      </c>
      <c r="C7" s="107"/>
      <c r="D7" s="107"/>
      <c r="E7" s="107"/>
      <c r="F7" s="107"/>
      <c r="G7" s="107"/>
      <c r="H7" s="107"/>
      <c r="I7" s="108"/>
      <c r="J7" s="108"/>
      <c r="K7" s="108"/>
      <c r="L7" s="108"/>
      <c r="M7" s="108"/>
      <c r="N7" s="108"/>
      <c r="O7" s="108"/>
      <c r="P7" s="108"/>
      <c r="Q7" s="108"/>
      <c r="R7" s="108"/>
    </row>
    <row r="8" spans="1:19" outlineLevel="1">
      <c r="A8" s="107"/>
      <c r="B8" s="107"/>
      <c r="C8" s="107"/>
      <c r="D8" s="107" t="s">
        <v>105</v>
      </c>
      <c r="E8" s="107"/>
      <c r="F8" s="107"/>
      <c r="G8" s="107"/>
      <c r="H8" s="107"/>
      <c r="I8" s="108"/>
      <c r="J8" s="108"/>
      <c r="K8" s="108"/>
      <c r="L8" s="108"/>
      <c r="M8" s="108"/>
      <c r="N8" s="108"/>
      <c r="O8" s="108"/>
      <c r="P8" s="108"/>
      <c r="Q8" s="108"/>
      <c r="R8" s="108"/>
    </row>
    <row r="9" spans="1:19" outlineLevel="2">
      <c r="A9" s="107"/>
      <c r="B9" s="107"/>
      <c r="C9" s="107"/>
      <c r="D9" s="107"/>
      <c r="E9" s="107" t="s">
        <v>106</v>
      </c>
      <c r="F9" s="107"/>
      <c r="G9" s="107"/>
      <c r="H9" s="107"/>
      <c r="I9" s="108"/>
      <c r="J9" s="108"/>
      <c r="K9" s="108"/>
      <c r="L9" s="108"/>
      <c r="M9" s="108"/>
      <c r="N9" s="108"/>
      <c r="O9" s="108"/>
      <c r="P9" s="108"/>
      <c r="Q9" s="108"/>
      <c r="R9" s="108"/>
    </row>
    <row r="10" spans="1:19" outlineLevel="2">
      <c r="A10" s="107"/>
      <c r="B10" s="107"/>
      <c r="C10" s="107"/>
      <c r="D10" s="107"/>
      <c r="E10" s="107"/>
      <c r="F10" s="107" t="s">
        <v>107</v>
      </c>
      <c r="G10" s="107"/>
      <c r="H10" s="107"/>
      <c r="I10" s="108">
        <v>0</v>
      </c>
      <c r="J10" s="108"/>
      <c r="K10" s="108"/>
      <c r="L10" s="108">
        <v>0</v>
      </c>
      <c r="M10" s="108"/>
      <c r="N10" s="108"/>
      <c r="O10" s="108">
        <v>0</v>
      </c>
      <c r="P10" s="108"/>
      <c r="Q10" s="108"/>
      <c r="R10" s="108">
        <v>0</v>
      </c>
    </row>
    <row r="11" spans="1:19" outlineLevel="2">
      <c r="A11" s="107"/>
      <c r="B11" s="107"/>
      <c r="C11" s="107"/>
      <c r="D11" s="107"/>
      <c r="E11" s="107"/>
      <c r="F11" s="107" t="s">
        <v>108</v>
      </c>
      <c r="G11" s="107"/>
      <c r="H11" s="107"/>
      <c r="I11" s="108">
        <v>0</v>
      </c>
      <c r="J11" s="108"/>
      <c r="K11" s="108"/>
      <c r="L11" s="108">
        <v>0</v>
      </c>
      <c r="M11" s="108"/>
      <c r="N11" s="108"/>
      <c r="O11" s="108">
        <v>0</v>
      </c>
      <c r="P11" s="108"/>
      <c r="Q11" s="108"/>
      <c r="R11" s="108">
        <v>0</v>
      </c>
    </row>
    <row r="12" spans="1:19" outlineLevel="2">
      <c r="A12" s="107"/>
      <c r="B12" s="107"/>
      <c r="C12" s="107"/>
      <c r="D12" s="107"/>
      <c r="E12" s="107"/>
      <c r="F12" s="107" t="s">
        <v>109</v>
      </c>
      <c r="G12" s="107"/>
      <c r="H12" s="107"/>
      <c r="I12" s="108">
        <v>0</v>
      </c>
      <c r="J12" s="108"/>
      <c r="K12" s="108"/>
      <c r="L12" s="108">
        <v>0</v>
      </c>
      <c r="M12" s="108"/>
      <c r="N12" s="108"/>
      <c r="O12" s="108">
        <v>0</v>
      </c>
      <c r="P12" s="108"/>
      <c r="Q12" s="108"/>
      <c r="R12" s="108">
        <v>0</v>
      </c>
    </row>
    <row r="13" spans="1:19" ht="16" outlineLevel="2" thickBot="1">
      <c r="A13" s="107"/>
      <c r="B13" s="107"/>
      <c r="C13" s="107"/>
      <c r="D13" s="107"/>
      <c r="E13" s="107"/>
      <c r="F13" s="107" t="s">
        <v>110</v>
      </c>
      <c r="G13" s="107"/>
      <c r="H13" s="107"/>
      <c r="I13" s="109">
        <v>0</v>
      </c>
      <c r="J13" s="109"/>
      <c r="K13" s="109"/>
      <c r="L13" s="109">
        <v>0</v>
      </c>
      <c r="M13" s="109"/>
      <c r="N13" s="109"/>
      <c r="O13" s="109">
        <v>0</v>
      </c>
      <c r="P13" s="109"/>
      <c r="Q13" s="109"/>
      <c r="R13" s="109">
        <v>0</v>
      </c>
    </row>
    <row r="14" spans="1:19" outlineLevel="1">
      <c r="A14" s="107"/>
      <c r="B14" s="107"/>
      <c r="C14" s="107"/>
      <c r="D14" s="107"/>
      <c r="E14" s="107" t="s">
        <v>111</v>
      </c>
      <c r="F14" s="107"/>
      <c r="G14" s="107"/>
      <c r="H14" s="107"/>
      <c r="I14" s="108">
        <f>ROUND(SUM(I9:I13),5)</f>
        <v>0</v>
      </c>
      <c r="J14" s="108"/>
      <c r="K14" s="108"/>
      <c r="L14" s="108">
        <f>ROUND(SUM(L9:L13),5)</f>
        <v>0</v>
      </c>
      <c r="M14" s="108"/>
      <c r="N14" s="108"/>
      <c r="O14" s="108">
        <f>ROUND(SUM(O9:O13),5)</f>
        <v>0</v>
      </c>
      <c r="P14" s="108"/>
      <c r="Q14" s="108"/>
      <c r="R14" s="108">
        <f>ROUND(SUM(R9:R13),5)</f>
        <v>0</v>
      </c>
    </row>
    <row r="15" spans="1:19" outlineLevel="2">
      <c r="A15" s="107"/>
      <c r="B15" s="107"/>
      <c r="C15" s="107"/>
      <c r="D15" s="107"/>
      <c r="E15" s="107" t="s">
        <v>76</v>
      </c>
      <c r="F15" s="107"/>
      <c r="G15" s="107"/>
      <c r="H15" s="107"/>
      <c r="I15" s="108"/>
      <c r="J15" s="108"/>
      <c r="K15" s="108"/>
      <c r="L15" s="108"/>
      <c r="M15" s="108"/>
      <c r="N15" s="108"/>
      <c r="O15" s="108"/>
      <c r="P15" s="108"/>
      <c r="Q15" s="108"/>
      <c r="R15" s="108"/>
    </row>
    <row r="16" spans="1:19" outlineLevel="2">
      <c r="A16" s="107"/>
      <c r="B16" s="107"/>
      <c r="C16" s="107"/>
      <c r="D16" s="107"/>
      <c r="E16" s="107"/>
      <c r="F16" s="107" t="s">
        <v>112</v>
      </c>
      <c r="G16" s="107"/>
      <c r="H16" s="107"/>
      <c r="I16" s="108">
        <v>0</v>
      </c>
      <c r="J16" s="108"/>
      <c r="K16" s="108"/>
      <c r="L16" s="108">
        <v>0</v>
      </c>
      <c r="M16" s="108"/>
      <c r="N16" s="108"/>
      <c r="O16" s="108">
        <v>0</v>
      </c>
      <c r="P16" s="108"/>
      <c r="Q16" s="108"/>
      <c r="R16" s="108">
        <v>0</v>
      </c>
    </row>
    <row r="17" spans="1:19" outlineLevel="2">
      <c r="A17" s="107"/>
      <c r="B17" s="107"/>
      <c r="C17" s="107"/>
      <c r="D17" s="107"/>
      <c r="E17" s="107"/>
      <c r="F17" s="107" t="s">
        <v>113</v>
      </c>
      <c r="G17" s="107"/>
      <c r="H17" s="107"/>
      <c r="I17" s="108">
        <v>0</v>
      </c>
      <c r="J17" s="108"/>
      <c r="K17" s="108"/>
      <c r="L17" s="108">
        <v>0</v>
      </c>
      <c r="M17" s="108"/>
      <c r="N17" s="108"/>
      <c r="O17" s="108">
        <v>0.02</v>
      </c>
      <c r="P17" s="108"/>
      <c r="Q17" s="108"/>
      <c r="R17" s="108">
        <v>0</v>
      </c>
    </row>
    <row r="18" spans="1:19">
      <c r="A18" s="107"/>
      <c r="B18" s="107"/>
      <c r="C18" s="107"/>
      <c r="D18" s="107"/>
      <c r="E18" s="107"/>
      <c r="F18" s="107" t="s">
        <v>114</v>
      </c>
      <c r="G18" s="107"/>
      <c r="H18" s="107"/>
      <c r="I18" s="108">
        <v>0</v>
      </c>
      <c r="J18" s="108"/>
      <c r="K18" s="108"/>
      <c r="L18" s="108">
        <v>0</v>
      </c>
      <c r="M18" s="108"/>
      <c r="N18" s="108"/>
      <c r="O18" s="108">
        <v>0</v>
      </c>
      <c r="P18" s="108"/>
      <c r="Q18" s="108"/>
      <c r="R18" s="108">
        <v>0</v>
      </c>
      <c r="S18"/>
    </row>
    <row r="19" spans="1:19">
      <c r="A19" s="107"/>
      <c r="B19" s="107"/>
      <c r="C19" s="107"/>
      <c r="D19" s="107"/>
      <c r="E19" s="107"/>
      <c r="F19" s="107" t="s">
        <v>115</v>
      </c>
      <c r="G19" s="107"/>
      <c r="H19" s="107"/>
      <c r="I19" s="108">
        <v>0</v>
      </c>
      <c r="J19" s="108"/>
      <c r="K19" s="108"/>
      <c r="L19" s="108">
        <v>0</v>
      </c>
      <c r="M19" s="108"/>
      <c r="N19" s="108"/>
      <c r="O19" s="108">
        <v>0</v>
      </c>
      <c r="P19" s="108"/>
      <c r="Q19" s="108"/>
      <c r="R19" s="108">
        <v>0</v>
      </c>
      <c r="S19"/>
    </row>
    <row r="20" spans="1:19" ht="16" thickBot="1">
      <c r="A20" s="107"/>
      <c r="B20" s="107"/>
      <c r="C20" s="107"/>
      <c r="D20" s="107"/>
      <c r="E20" s="107"/>
      <c r="F20" s="107" t="s">
        <v>116</v>
      </c>
      <c r="G20" s="107"/>
      <c r="H20" s="107"/>
      <c r="I20" s="109">
        <v>0</v>
      </c>
      <c r="J20" s="109"/>
      <c r="K20" s="109"/>
      <c r="L20" s="109">
        <v>0</v>
      </c>
      <c r="M20" s="109"/>
      <c r="N20" s="109"/>
      <c r="O20" s="109">
        <v>0</v>
      </c>
      <c r="P20" s="109"/>
      <c r="Q20" s="109"/>
      <c r="R20" s="109">
        <v>0</v>
      </c>
      <c r="S20"/>
    </row>
    <row r="21" spans="1:19">
      <c r="A21" s="107"/>
      <c r="B21" s="107"/>
      <c r="C21" s="107"/>
      <c r="D21" s="107"/>
      <c r="E21" s="107" t="s">
        <v>117</v>
      </c>
      <c r="F21" s="107"/>
      <c r="G21" s="107"/>
      <c r="H21" s="107"/>
      <c r="I21" s="108">
        <f>ROUND(SUM(I15:I20),5)</f>
        <v>0</v>
      </c>
      <c r="J21" s="108"/>
      <c r="K21" s="108"/>
      <c r="L21" s="108">
        <f>ROUND(SUM(L15:L20),5)</f>
        <v>0</v>
      </c>
      <c r="M21" s="108"/>
      <c r="N21" s="108"/>
      <c r="O21" s="108">
        <f>ROUND(SUM(O15:O20),5)</f>
        <v>0.02</v>
      </c>
      <c r="P21" s="108"/>
      <c r="Q21" s="108"/>
      <c r="R21" s="108">
        <f>ROUND(SUM(R15:R20),5)</f>
        <v>0</v>
      </c>
      <c r="S21"/>
    </row>
    <row r="22" spans="1:19">
      <c r="A22" s="107"/>
      <c r="B22" s="107"/>
      <c r="C22" s="107"/>
      <c r="D22" s="107"/>
      <c r="E22" s="107" t="s">
        <v>75</v>
      </c>
      <c r="F22" s="107"/>
      <c r="G22" s="107"/>
      <c r="H22" s="107"/>
      <c r="I22" s="108"/>
      <c r="J22" s="108"/>
      <c r="K22" s="108"/>
      <c r="L22" s="108"/>
      <c r="M22" s="108"/>
      <c r="N22" s="108"/>
      <c r="O22" s="108"/>
      <c r="P22" s="108"/>
      <c r="Q22" s="108"/>
      <c r="R22" s="108"/>
      <c r="S22"/>
    </row>
    <row r="23" spans="1:19">
      <c r="A23" s="107"/>
      <c r="B23" s="107"/>
      <c r="C23" s="107"/>
      <c r="D23" s="107"/>
      <c r="E23" s="107"/>
      <c r="F23" s="107" t="s">
        <v>118</v>
      </c>
      <c r="G23" s="107"/>
      <c r="H23" s="107"/>
      <c r="I23" s="108">
        <v>0</v>
      </c>
      <c r="J23" s="108"/>
      <c r="K23" s="108"/>
      <c r="L23" s="108">
        <v>0</v>
      </c>
      <c r="M23" s="108"/>
      <c r="N23" s="108"/>
      <c r="O23" s="108">
        <v>0</v>
      </c>
      <c r="P23" s="108"/>
      <c r="Q23" s="108"/>
      <c r="R23" s="108">
        <v>0</v>
      </c>
      <c r="S23"/>
    </row>
    <row r="24" spans="1:19">
      <c r="A24" s="107"/>
      <c r="B24" s="107"/>
      <c r="C24" s="107"/>
      <c r="D24" s="107"/>
      <c r="E24" s="107"/>
      <c r="F24" s="107" t="s">
        <v>119</v>
      </c>
      <c r="G24" s="107"/>
      <c r="H24" s="107"/>
      <c r="I24" s="108">
        <v>0.06</v>
      </c>
      <c r="J24" s="108"/>
      <c r="K24" s="108"/>
      <c r="L24" s="108">
        <v>0</v>
      </c>
      <c r="M24" s="108"/>
      <c r="N24" s="108"/>
      <c r="O24" s="108">
        <v>0</v>
      </c>
      <c r="P24" s="108"/>
      <c r="Q24" s="108"/>
      <c r="R24" s="108">
        <v>0</v>
      </c>
      <c r="S24"/>
    </row>
    <row r="25" spans="1:19">
      <c r="A25" s="107"/>
      <c r="B25" s="107"/>
      <c r="C25" s="107"/>
      <c r="D25" s="107"/>
      <c r="E25" s="107"/>
      <c r="F25" s="107" t="s">
        <v>120</v>
      </c>
      <c r="G25" s="107"/>
      <c r="H25" s="107"/>
      <c r="I25" s="108">
        <v>0</v>
      </c>
      <c r="J25" s="108"/>
      <c r="K25" s="108"/>
      <c r="L25" s="108">
        <v>0</v>
      </c>
      <c r="M25" s="108"/>
      <c r="N25" s="108"/>
      <c r="O25" s="108">
        <v>0</v>
      </c>
      <c r="P25" s="108"/>
      <c r="Q25" s="108"/>
      <c r="R25" s="108">
        <v>0</v>
      </c>
      <c r="S25"/>
    </row>
    <row r="26" spans="1:19">
      <c r="A26" s="107"/>
      <c r="B26" s="107"/>
      <c r="C26" s="107"/>
      <c r="D26" s="107"/>
      <c r="E26" s="107"/>
      <c r="F26" s="107" t="s">
        <v>121</v>
      </c>
      <c r="G26" s="107"/>
      <c r="H26" s="107"/>
      <c r="I26" s="108">
        <v>0</v>
      </c>
      <c r="J26" s="108"/>
      <c r="K26" s="108"/>
      <c r="L26" s="108">
        <v>0</v>
      </c>
      <c r="M26" s="108"/>
      <c r="N26" s="108"/>
      <c r="O26" s="108">
        <v>0</v>
      </c>
      <c r="P26" s="108"/>
      <c r="Q26" s="108"/>
      <c r="R26" s="108">
        <v>0</v>
      </c>
      <c r="S26"/>
    </row>
    <row r="27" spans="1:19">
      <c r="A27" s="107"/>
      <c r="B27" s="107"/>
      <c r="C27" s="107"/>
      <c r="D27" s="107"/>
      <c r="E27" s="107"/>
      <c r="F27" s="107" t="s">
        <v>122</v>
      </c>
      <c r="G27" s="107"/>
      <c r="H27" s="107"/>
      <c r="I27" s="108">
        <v>0</v>
      </c>
      <c r="J27" s="108"/>
      <c r="K27" s="108"/>
      <c r="L27" s="108">
        <v>0</v>
      </c>
      <c r="M27" s="108"/>
      <c r="N27" s="108"/>
      <c r="O27" s="108">
        <v>150</v>
      </c>
      <c r="P27" s="108"/>
      <c r="Q27" s="108"/>
      <c r="R27" s="108">
        <v>0</v>
      </c>
      <c r="S27"/>
    </row>
    <row r="28" spans="1:19">
      <c r="A28" s="107"/>
      <c r="B28" s="107"/>
      <c r="C28" s="107"/>
      <c r="D28" s="107"/>
      <c r="E28" s="107"/>
      <c r="F28" s="107" t="s">
        <v>123</v>
      </c>
      <c r="G28" s="107"/>
      <c r="H28" s="107"/>
      <c r="I28" s="108">
        <v>0</v>
      </c>
      <c r="J28" s="108"/>
      <c r="K28" s="108"/>
      <c r="L28" s="108">
        <v>0</v>
      </c>
      <c r="M28" s="108"/>
      <c r="N28" s="108"/>
      <c r="O28" s="108">
        <v>0</v>
      </c>
      <c r="P28" s="108"/>
      <c r="Q28" s="108"/>
      <c r="R28" s="108">
        <v>0</v>
      </c>
      <c r="S28"/>
    </row>
    <row r="29" spans="1:19">
      <c r="A29" s="107"/>
      <c r="B29" s="107"/>
      <c r="C29" s="107"/>
      <c r="D29" s="107"/>
      <c r="E29" s="107"/>
      <c r="F29" s="107" t="s">
        <v>124</v>
      </c>
      <c r="G29" s="107"/>
      <c r="H29" s="107"/>
      <c r="I29" s="108">
        <v>0</v>
      </c>
      <c r="J29" s="108"/>
      <c r="K29" s="108"/>
      <c r="L29" s="108">
        <v>0</v>
      </c>
      <c r="M29" s="108"/>
      <c r="N29" s="108"/>
      <c r="O29" s="108">
        <v>0</v>
      </c>
      <c r="P29" s="108"/>
      <c r="Q29" s="108"/>
      <c r="R29" s="108">
        <v>0</v>
      </c>
      <c r="S29"/>
    </row>
    <row r="30" spans="1:19" ht="16" thickBot="1">
      <c r="A30" s="107"/>
      <c r="B30" s="107"/>
      <c r="C30" s="107"/>
      <c r="D30" s="107"/>
      <c r="E30" s="107"/>
      <c r="F30" s="107" t="s">
        <v>125</v>
      </c>
      <c r="G30" s="107"/>
      <c r="H30" s="107"/>
      <c r="I30" s="109">
        <v>453.15</v>
      </c>
      <c r="J30" s="109"/>
      <c r="K30" s="109"/>
      <c r="L30" s="109">
        <v>505.77</v>
      </c>
      <c r="M30" s="109" t="s">
        <v>126</v>
      </c>
      <c r="N30" s="109"/>
      <c r="O30" s="109">
        <v>0</v>
      </c>
      <c r="P30" s="109"/>
      <c r="Q30" s="109"/>
      <c r="R30" s="109">
        <v>0</v>
      </c>
      <c r="S30"/>
    </row>
    <row r="31" spans="1:19">
      <c r="A31" s="107"/>
      <c r="B31" s="107"/>
      <c r="C31" s="107"/>
      <c r="D31" s="107"/>
      <c r="E31" s="107" t="s">
        <v>127</v>
      </c>
      <c r="F31" s="107"/>
      <c r="G31" s="107"/>
      <c r="H31" s="107"/>
      <c r="I31" s="108">
        <f>ROUND(SUM(I22:I30),5)</f>
        <v>453.21</v>
      </c>
      <c r="J31" s="108"/>
      <c r="K31" s="108"/>
      <c r="L31" s="108">
        <f>ROUND(SUM(L22:L30),5)</f>
        <v>505.77</v>
      </c>
      <c r="M31" s="108"/>
      <c r="N31" s="108"/>
      <c r="O31" s="108">
        <f>ROUND(SUM(O22:O30),5)</f>
        <v>150</v>
      </c>
      <c r="P31" s="108"/>
      <c r="Q31" s="108"/>
      <c r="R31" s="108">
        <f>ROUND(SUM(R22:R30),5)</f>
        <v>0</v>
      </c>
      <c r="S31"/>
    </row>
    <row r="32" spans="1:19">
      <c r="A32" s="107"/>
      <c r="B32" s="107"/>
      <c r="C32" s="107"/>
      <c r="D32" s="107"/>
      <c r="E32" s="107" t="s">
        <v>77</v>
      </c>
      <c r="F32" s="107"/>
      <c r="G32" s="107"/>
      <c r="H32" s="107"/>
      <c r="I32" s="108"/>
      <c r="J32" s="108"/>
      <c r="K32" s="108"/>
      <c r="L32" s="108"/>
      <c r="M32" s="108"/>
      <c r="N32" s="108"/>
      <c r="O32" s="108"/>
      <c r="P32" s="108"/>
      <c r="Q32" s="108"/>
      <c r="R32" s="108"/>
      <c r="S32"/>
    </row>
    <row r="33" spans="1:19">
      <c r="A33" s="107"/>
      <c r="B33" s="107"/>
      <c r="C33" s="107"/>
      <c r="D33" s="107"/>
      <c r="E33" s="107"/>
      <c r="F33" s="107" t="s">
        <v>118</v>
      </c>
      <c r="G33" s="107"/>
      <c r="H33" s="107"/>
      <c r="I33" s="108">
        <v>0</v>
      </c>
      <c r="J33" s="108"/>
      <c r="K33" s="108"/>
      <c r="L33" s="108">
        <v>0</v>
      </c>
      <c r="M33" s="108"/>
      <c r="N33" s="108"/>
      <c r="O33" s="108">
        <v>0</v>
      </c>
      <c r="P33" s="108"/>
      <c r="Q33" s="108"/>
      <c r="R33" s="108">
        <v>0</v>
      </c>
      <c r="S33"/>
    </row>
    <row r="34" spans="1:19">
      <c r="A34" s="107"/>
      <c r="B34" s="107"/>
      <c r="C34" s="107"/>
      <c r="D34" s="107"/>
      <c r="E34" s="107"/>
      <c r="F34" s="107" t="s">
        <v>119</v>
      </c>
      <c r="G34" s="107"/>
      <c r="H34" s="107"/>
      <c r="I34" s="108">
        <v>0.05</v>
      </c>
      <c r="J34" s="108"/>
      <c r="K34" s="108"/>
      <c r="L34" s="108">
        <v>0</v>
      </c>
      <c r="M34" s="108"/>
      <c r="N34" s="108"/>
      <c r="O34" s="108">
        <v>0</v>
      </c>
      <c r="P34" s="108"/>
      <c r="Q34" s="108"/>
      <c r="R34" s="108">
        <v>0</v>
      </c>
      <c r="S34"/>
    </row>
    <row r="35" spans="1:19">
      <c r="A35" s="107"/>
      <c r="B35" s="107"/>
      <c r="C35" s="107"/>
      <c r="D35" s="107"/>
      <c r="E35" s="107"/>
      <c r="F35" s="107" t="s">
        <v>120</v>
      </c>
      <c r="G35" s="107"/>
      <c r="H35" s="107"/>
      <c r="I35" s="108">
        <v>0</v>
      </c>
      <c r="J35" s="108"/>
      <c r="K35" s="108"/>
      <c r="L35" s="108">
        <v>0</v>
      </c>
      <c r="M35" s="108"/>
      <c r="N35" s="108"/>
      <c r="O35" s="108">
        <v>0</v>
      </c>
      <c r="P35" s="108"/>
      <c r="Q35" s="108"/>
      <c r="R35" s="108">
        <v>0</v>
      </c>
      <c r="S35"/>
    </row>
    <row r="36" spans="1:19">
      <c r="A36" s="107"/>
      <c r="B36" s="107"/>
      <c r="C36" s="107"/>
      <c r="D36" s="107"/>
      <c r="E36" s="107"/>
      <c r="F36" s="107" t="s">
        <v>122</v>
      </c>
      <c r="G36" s="107"/>
      <c r="H36" s="107"/>
      <c r="I36" s="108">
        <v>0</v>
      </c>
      <c r="J36" s="108"/>
      <c r="K36" s="108"/>
      <c r="L36" s="108">
        <v>0</v>
      </c>
      <c r="M36" s="108"/>
      <c r="N36" s="108"/>
      <c r="O36" s="108">
        <v>0</v>
      </c>
      <c r="P36" s="108"/>
      <c r="Q36" s="108"/>
      <c r="R36" s="108">
        <v>0</v>
      </c>
      <c r="S36"/>
    </row>
    <row r="37" spans="1:19">
      <c r="A37" s="107"/>
      <c r="B37" s="107"/>
      <c r="C37" s="107"/>
      <c r="D37" s="107"/>
      <c r="E37" s="107"/>
      <c r="F37" s="107" t="s">
        <v>123</v>
      </c>
      <c r="G37" s="107"/>
      <c r="H37" s="107"/>
      <c r="I37" s="108">
        <v>0</v>
      </c>
      <c r="J37" s="108"/>
      <c r="K37" s="108"/>
      <c r="L37" s="108">
        <v>0</v>
      </c>
      <c r="M37" s="108"/>
      <c r="N37" s="108"/>
      <c r="O37" s="108">
        <v>0</v>
      </c>
      <c r="P37" s="108"/>
      <c r="Q37" s="108"/>
      <c r="R37" s="108">
        <v>0</v>
      </c>
      <c r="S37"/>
    </row>
    <row r="38" spans="1:19">
      <c r="A38" s="107"/>
      <c r="B38" s="107"/>
      <c r="C38" s="107"/>
      <c r="D38" s="107"/>
      <c r="E38" s="107"/>
      <c r="F38" s="107" t="s">
        <v>124</v>
      </c>
      <c r="G38" s="107"/>
      <c r="H38" s="107"/>
      <c r="I38" s="108">
        <v>0</v>
      </c>
      <c r="J38" s="108"/>
      <c r="K38" s="108"/>
      <c r="L38" s="108">
        <v>0</v>
      </c>
      <c r="M38" s="108"/>
      <c r="N38" s="108"/>
      <c r="O38" s="108">
        <v>0</v>
      </c>
      <c r="P38" s="108"/>
      <c r="Q38" s="108"/>
      <c r="R38" s="108">
        <v>0</v>
      </c>
      <c r="S38"/>
    </row>
    <row r="39" spans="1:19" ht="16" thickBot="1">
      <c r="A39" s="107"/>
      <c r="B39" s="107"/>
      <c r="C39" s="107"/>
      <c r="D39" s="107"/>
      <c r="E39" s="107"/>
      <c r="F39" s="107" t="s">
        <v>125</v>
      </c>
      <c r="G39" s="107"/>
      <c r="H39" s="107"/>
      <c r="I39" s="109">
        <v>0</v>
      </c>
      <c r="J39" s="109"/>
      <c r="K39" s="109"/>
      <c r="L39" s="109">
        <v>0</v>
      </c>
      <c r="M39" s="109"/>
      <c r="N39" s="109"/>
      <c r="O39" s="109">
        <v>0</v>
      </c>
      <c r="P39" s="109"/>
      <c r="Q39" s="109"/>
      <c r="R39" s="109">
        <v>0</v>
      </c>
      <c r="S39"/>
    </row>
    <row r="40" spans="1:19">
      <c r="A40" s="107"/>
      <c r="B40" s="107"/>
      <c r="C40" s="107"/>
      <c r="D40" s="107"/>
      <c r="E40" s="107" t="s">
        <v>128</v>
      </c>
      <c r="F40" s="107"/>
      <c r="G40" s="107"/>
      <c r="H40" s="107"/>
      <c r="I40" s="108">
        <f>ROUND(SUM(I32:I39),5)</f>
        <v>0.05</v>
      </c>
      <c r="J40" s="108"/>
      <c r="K40" s="108"/>
      <c r="L40" s="108">
        <f>ROUND(SUM(L32:L39),5)</f>
        <v>0</v>
      </c>
      <c r="M40" s="108"/>
      <c r="N40" s="108"/>
      <c r="O40" s="108">
        <f>ROUND(SUM(O32:O39),5)</f>
        <v>0</v>
      </c>
      <c r="P40" s="108"/>
      <c r="Q40" s="108"/>
      <c r="R40" s="108">
        <f>ROUND(SUM(R32:R39),5)</f>
        <v>0</v>
      </c>
      <c r="S40"/>
    </row>
    <row r="41" spans="1:19">
      <c r="A41" s="107"/>
      <c r="B41" s="107"/>
      <c r="C41" s="107"/>
      <c r="D41" s="107"/>
      <c r="E41" s="107" t="s">
        <v>79</v>
      </c>
      <c r="F41" s="107"/>
      <c r="G41" s="107"/>
      <c r="H41" s="107"/>
      <c r="I41" s="108"/>
      <c r="J41" s="108"/>
      <c r="K41" s="108"/>
      <c r="L41" s="108"/>
      <c r="M41" s="108"/>
      <c r="N41" s="108"/>
      <c r="O41" s="108"/>
      <c r="P41" s="108"/>
      <c r="Q41" s="108"/>
      <c r="R41" s="108"/>
      <c r="S41"/>
    </row>
    <row r="42" spans="1:19">
      <c r="A42" s="107"/>
      <c r="B42" s="107"/>
      <c r="C42" s="107"/>
      <c r="D42" s="107"/>
      <c r="E42" s="107"/>
      <c r="F42" s="107" t="s">
        <v>129</v>
      </c>
      <c r="G42" s="107"/>
      <c r="H42" s="107"/>
      <c r="I42" s="108"/>
      <c r="J42" s="108"/>
      <c r="K42" s="108"/>
      <c r="L42" s="108"/>
      <c r="M42" s="108"/>
      <c r="N42" s="108"/>
      <c r="O42" s="108"/>
      <c r="P42" s="108"/>
      <c r="Q42" s="108"/>
      <c r="R42" s="108"/>
      <c r="S42"/>
    </row>
    <row r="43" spans="1:19">
      <c r="A43" s="107"/>
      <c r="B43" s="107"/>
      <c r="C43" s="107"/>
      <c r="D43" s="107"/>
      <c r="E43" s="107"/>
      <c r="F43" s="107"/>
      <c r="G43" s="107" t="s">
        <v>130</v>
      </c>
      <c r="H43" s="107"/>
      <c r="I43" s="108">
        <v>2551.2800000000002</v>
      </c>
      <c r="J43" s="108" t="s">
        <v>131</v>
      </c>
      <c r="K43" s="108"/>
      <c r="L43" s="108">
        <v>2708.01</v>
      </c>
      <c r="M43" s="108" t="s">
        <v>131</v>
      </c>
      <c r="N43" s="108"/>
      <c r="O43" s="108">
        <v>1965.74</v>
      </c>
      <c r="P43" s="108" t="s">
        <v>132</v>
      </c>
      <c r="Q43" s="108"/>
      <c r="R43" s="108">
        <v>1059.2</v>
      </c>
      <c r="S43"/>
    </row>
    <row r="44" spans="1:19">
      <c r="A44" s="107"/>
      <c r="B44" s="107"/>
      <c r="C44" s="107"/>
      <c r="D44" s="107"/>
      <c r="E44" s="107"/>
      <c r="F44" s="107"/>
      <c r="G44" s="107" t="s">
        <v>133</v>
      </c>
      <c r="H44" s="107"/>
      <c r="I44" s="108">
        <v>0</v>
      </c>
      <c r="J44" s="108"/>
      <c r="K44" s="108"/>
      <c r="L44" s="108">
        <v>60.94</v>
      </c>
      <c r="M44" s="108"/>
      <c r="N44" s="108"/>
      <c r="O44" s="108">
        <v>421.67</v>
      </c>
      <c r="P44" s="108"/>
      <c r="Q44" s="108"/>
      <c r="R44" s="108">
        <v>0</v>
      </c>
      <c r="S44"/>
    </row>
    <row r="45" spans="1:19" ht="16" thickBot="1">
      <c r="A45" s="107"/>
      <c r="B45" s="107"/>
      <c r="C45" s="107"/>
      <c r="D45" s="107"/>
      <c r="E45" s="107"/>
      <c r="F45" s="107"/>
      <c r="G45" s="107" t="s">
        <v>134</v>
      </c>
      <c r="H45" s="107"/>
      <c r="I45" s="110">
        <v>0</v>
      </c>
      <c r="J45" s="110"/>
      <c r="K45" s="110"/>
      <c r="L45" s="110">
        <v>0</v>
      </c>
      <c r="M45" s="110"/>
      <c r="N45" s="110"/>
      <c r="O45" s="110">
        <v>0</v>
      </c>
      <c r="P45" s="110"/>
      <c r="Q45" s="110"/>
      <c r="R45" s="110">
        <v>0</v>
      </c>
      <c r="S45"/>
    </row>
    <row r="46" spans="1:19" ht="16" thickBot="1">
      <c r="A46" s="107"/>
      <c r="B46" s="107"/>
      <c r="C46" s="107"/>
      <c r="D46" s="107"/>
      <c r="E46" s="107"/>
      <c r="F46" s="107" t="s">
        <v>135</v>
      </c>
      <c r="G46" s="107"/>
      <c r="H46" s="107"/>
      <c r="I46" s="111">
        <f>ROUND(SUM(I42:I45),5)</f>
        <v>2551.2800000000002</v>
      </c>
      <c r="J46" s="111"/>
      <c r="K46" s="111"/>
      <c r="L46" s="111">
        <f>ROUND(SUM(L42:L45),5)</f>
        <v>2768.95</v>
      </c>
      <c r="M46" s="111"/>
      <c r="N46" s="111"/>
      <c r="O46" s="111">
        <f>ROUND(SUM(O42:O45),5)</f>
        <v>2387.41</v>
      </c>
      <c r="P46" s="111"/>
      <c r="Q46" s="111"/>
      <c r="R46" s="111">
        <f>ROUND(SUM(R42:R45),5)</f>
        <v>1059.2</v>
      </c>
      <c r="S46"/>
    </row>
    <row r="47" spans="1:19">
      <c r="A47" s="107"/>
      <c r="B47" s="107"/>
      <c r="C47" s="107"/>
      <c r="D47" s="107"/>
      <c r="E47" s="107" t="s">
        <v>136</v>
      </c>
      <c r="F47" s="107"/>
      <c r="G47" s="107"/>
      <c r="H47" s="107"/>
      <c r="I47" s="108">
        <f>ROUND(I41+I46,5)</f>
        <v>2551.2800000000002</v>
      </c>
      <c r="J47" s="108"/>
      <c r="K47" s="108"/>
      <c r="L47" s="108">
        <f>ROUND(L41+L46,5)</f>
        <v>2768.95</v>
      </c>
      <c r="M47" s="108"/>
      <c r="N47" s="108"/>
      <c r="O47" s="108">
        <f>ROUND(O41+O46,5)</f>
        <v>2387.41</v>
      </c>
      <c r="P47" s="108"/>
      <c r="Q47" s="108"/>
      <c r="R47" s="108">
        <f>ROUND(R41+R46,5)</f>
        <v>1059.2</v>
      </c>
      <c r="S47"/>
    </row>
    <row r="48" spans="1:19">
      <c r="A48" s="107"/>
      <c r="B48" s="107"/>
      <c r="C48" s="107"/>
      <c r="D48" s="107"/>
      <c r="E48" s="107" t="s">
        <v>78</v>
      </c>
      <c r="F48" s="107"/>
      <c r="G48" s="107"/>
      <c r="H48" s="107"/>
      <c r="I48" s="108"/>
      <c r="J48" s="108"/>
      <c r="K48" s="108"/>
      <c r="L48" s="108"/>
      <c r="M48" s="108"/>
      <c r="N48" s="108"/>
      <c r="O48" s="108"/>
      <c r="P48" s="108"/>
      <c r="Q48" s="108"/>
      <c r="R48" s="108"/>
      <c r="S48"/>
    </row>
    <row r="49" spans="1:19">
      <c r="A49" s="107"/>
      <c r="B49" s="107"/>
      <c r="C49" s="107"/>
      <c r="D49" s="107"/>
      <c r="E49" s="107"/>
      <c r="F49" s="107" t="s">
        <v>137</v>
      </c>
      <c r="G49" s="107"/>
      <c r="H49" s="107"/>
      <c r="I49" s="108"/>
      <c r="J49" s="108"/>
      <c r="K49" s="108"/>
      <c r="L49" s="108"/>
      <c r="M49" s="108"/>
      <c r="N49" s="108"/>
      <c r="O49" s="108"/>
      <c r="P49" s="108"/>
      <c r="Q49" s="108"/>
      <c r="R49" s="108"/>
      <c r="S49"/>
    </row>
    <row r="50" spans="1:19">
      <c r="A50" s="107"/>
      <c r="B50" s="107"/>
      <c r="C50" s="107"/>
      <c r="D50" s="107"/>
      <c r="E50" s="107"/>
      <c r="F50" s="107"/>
      <c r="G50" s="107" t="s">
        <v>138</v>
      </c>
      <c r="H50" s="107"/>
      <c r="I50" s="108">
        <v>0</v>
      </c>
      <c r="J50" s="108"/>
      <c r="K50" s="108"/>
      <c r="L50" s="108">
        <v>2849.7</v>
      </c>
      <c r="M50" s="108" t="s">
        <v>139</v>
      </c>
      <c r="N50" s="108"/>
      <c r="O50" s="108">
        <v>1914.28</v>
      </c>
      <c r="P50" s="108" t="s">
        <v>140</v>
      </c>
      <c r="Q50" s="108"/>
      <c r="R50" s="108">
        <v>0</v>
      </c>
      <c r="S50"/>
    </row>
    <row r="51" spans="1:19">
      <c r="A51" s="107"/>
      <c r="B51" s="107"/>
      <c r="C51" s="107"/>
      <c r="D51" s="107"/>
      <c r="E51" s="107"/>
      <c r="F51" s="107"/>
      <c r="G51" s="107" t="s">
        <v>141</v>
      </c>
      <c r="H51" s="107"/>
      <c r="I51" s="108">
        <v>4.1500000000000004</v>
      </c>
      <c r="J51" s="108"/>
      <c r="K51" s="108"/>
      <c r="L51" s="108">
        <v>16.510000000000002</v>
      </c>
      <c r="M51" s="108"/>
      <c r="N51" s="108"/>
      <c r="O51" s="108">
        <v>2082.9</v>
      </c>
      <c r="P51" s="108" t="s">
        <v>142</v>
      </c>
      <c r="Q51" s="108"/>
      <c r="R51" s="108">
        <v>0</v>
      </c>
      <c r="S51"/>
    </row>
    <row r="52" spans="1:19">
      <c r="A52" s="107"/>
      <c r="B52" s="107"/>
      <c r="C52" s="107"/>
      <c r="D52" s="107"/>
      <c r="E52" s="107"/>
      <c r="F52" s="107"/>
      <c r="G52" s="107" t="s">
        <v>143</v>
      </c>
      <c r="H52" s="107"/>
      <c r="I52" s="108">
        <v>0.87</v>
      </c>
      <c r="J52" s="108"/>
      <c r="K52" s="108"/>
      <c r="L52" s="108">
        <v>0</v>
      </c>
      <c r="M52" s="108"/>
      <c r="N52" s="108"/>
      <c r="O52" s="108">
        <v>0.4</v>
      </c>
      <c r="P52" s="108"/>
      <c r="Q52" s="108"/>
      <c r="R52" s="108">
        <v>0</v>
      </c>
      <c r="S52"/>
    </row>
    <row r="53" spans="1:19" ht="16" thickBot="1">
      <c r="A53" s="107"/>
      <c r="B53" s="107"/>
      <c r="C53" s="107"/>
      <c r="D53" s="107"/>
      <c r="E53" s="107"/>
      <c r="F53" s="107"/>
      <c r="G53" s="107" t="s">
        <v>144</v>
      </c>
      <c r="H53" s="107"/>
      <c r="I53" s="109">
        <v>20.059999999999999</v>
      </c>
      <c r="J53" s="109"/>
      <c r="K53" s="109"/>
      <c r="L53" s="109">
        <v>48.13</v>
      </c>
      <c r="M53" s="109"/>
      <c r="N53" s="109"/>
      <c r="O53" s="109">
        <v>604.83000000000004</v>
      </c>
      <c r="P53" s="109" t="s">
        <v>145</v>
      </c>
      <c r="Q53" s="109"/>
      <c r="R53" s="109">
        <v>14.09</v>
      </c>
      <c r="S53"/>
    </row>
    <row r="54" spans="1:19">
      <c r="A54" s="107"/>
      <c r="B54" s="107"/>
      <c r="C54" s="107"/>
      <c r="D54" s="107"/>
      <c r="E54" s="107"/>
      <c r="F54" s="107" t="s">
        <v>146</v>
      </c>
      <c r="G54" s="107"/>
      <c r="H54" s="107"/>
      <c r="I54" s="108">
        <f>ROUND(SUM(I49:I53),5)</f>
        <v>25.08</v>
      </c>
      <c r="J54" s="108"/>
      <c r="K54" s="108"/>
      <c r="L54" s="108">
        <f>ROUND(SUM(L49:L53),5)</f>
        <v>2914.34</v>
      </c>
      <c r="M54" s="108"/>
      <c r="N54" s="108"/>
      <c r="O54" s="108">
        <f>ROUND(SUM(O49:O53),5)</f>
        <v>4602.41</v>
      </c>
      <c r="P54" s="108"/>
      <c r="Q54" s="108"/>
      <c r="R54" s="108">
        <f>ROUND(SUM(R49:R53),5)</f>
        <v>14.09</v>
      </c>
      <c r="S54"/>
    </row>
    <row r="55" spans="1:19">
      <c r="A55" s="107"/>
      <c r="B55" s="107"/>
      <c r="C55" s="107"/>
      <c r="D55" s="107"/>
      <c r="E55" s="107"/>
      <c r="F55" s="107" t="s">
        <v>147</v>
      </c>
      <c r="G55" s="107"/>
      <c r="H55" s="107"/>
      <c r="I55" s="108"/>
      <c r="J55" s="108"/>
      <c r="K55" s="108"/>
      <c r="L55" s="108"/>
      <c r="M55" s="108"/>
      <c r="N55" s="108"/>
      <c r="O55" s="108"/>
      <c r="P55" s="108"/>
      <c r="Q55" s="108"/>
      <c r="R55" s="108"/>
      <c r="S55"/>
    </row>
    <row r="56" spans="1:19">
      <c r="A56" s="107"/>
      <c r="B56" s="107"/>
      <c r="C56" s="107"/>
      <c r="D56" s="107"/>
      <c r="E56" s="107"/>
      <c r="F56" s="107"/>
      <c r="G56" s="107" t="s">
        <v>148</v>
      </c>
      <c r="H56" s="107"/>
      <c r="I56" s="108">
        <v>8090.24</v>
      </c>
      <c r="J56" s="108" t="s">
        <v>149</v>
      </c>
      <c r="K56" s="108"/>
      <c r="L56" s="108">
        <v>105.83</v>
      </c>
      <c r="M56" s="108"/>
      <c r="N56" s="108"/>
      <c r="O56" s="108">
        <v>0</v>
      </c>
      <c r="P56" s="108"/>
      <c r="Q56" s="108"/>
      <c r="R56" s="108">
        <v>0</v>
      </c>
      <c r="S56"/>
    </row>
    <row r="57" spans="1:19">
      <c r="A57" s="107"/>
      <c r="B57" s="107"/>
      <c r="C57" s="107"/>
      <c r="D57" s="107"/>
      <c r="E57" s="107"/>
      <c r="F57" s="107"/>
      <c r="G57" s="107" t="s">
        <v>150</v>
      </c>
      <c r="H57" s="107"/>
      <c r="I57" s="108">
        <v>60.5</v>
      </c>
      <c r="J57" s="108"/>
      <c r="K57" s="108"/>
      <c r="L57" s="108">
        <v>51.4</v>
      </c>
      <c r="M57" s="108"/>
      <c r="N57" s="108"/>
      <c r="O57" s="108">
        <v>1755.8</v>
      </c>
      <c r="P57" s="108" t="s">
        <v>151</v>
      </c>
      <c r="Q57" s="108"/>
      <c r="R57" s="108">
        <v>0</v>
      </c>
      <c r="S57"/>
    </row>
    <row r="58" spans="1:19">
      <c r="A58" s="107"/>
      <c r="B58" s="107"/>
      <c r="C58" s="107"/>
      <c r="D58" s="107"/>
      <c r="E58" s="107"/>
      <c r="F58" s="107"/>
      <c r="G58" s="107" t="s">
        <v>152</v>
      </c>
      <c r="H58" s="107"/>
      <c r="I58" s="108">
        <v>0</v>
      </c>
      <c r="J58" s="108"/>
      <c r="K58" s="108"/>
      <c r="L58" s="108">
        <v>0</v>
      </c>
      <c r="M58" s="108"/>
      <c r="N58" s="108"/>
      <c r="O58" s="108">
        <v>896.93</v>
      </c>
      <c r="P58" s="108" t="s">
        <v>153</v>
      </c>
      <c r="Q58" s="108"/>
      <c r="R58" s="108">
        <v>0</v>
      </c>
      <c r="S58"/>
    </row>
    <row r="59" spans="1:19">
      <c r="A59" s="107"/>
      <c r="B59" s="107"/>
      <c r="C59" s="107"/>
      <c r="D59" s="107"/>
      <c r="E59" s="107"/>
      <c r="F59" s="107"/>
      <c r="G59" s="107" t="s">
        <v>154</v>
      </c>
      <c r="H59" s="107"/>
      <c r="I59" s="108">
        <v>0</v>
      </c>
      <c r="J59" s="108"/>
      <c r="K59" s="108"/>
      <c r="L59" s="108">
        <v>0</v>
      </c>
      <c r="M59" s="108"/>
      <c r="N59" s="108"/>
      <c r="O59" s="108">
        <v>1591.29</v>
      </c>
      <c r="P59" s="108" t="s">
        <v>155</v>
      </c>
      <c r="Q59" s="108"/>
      <c r="R59" s="108">
        <v>0</v>
      </c>
      <c r="S59"/>
    </row>
    <row r="60" spans="1:19">
      <c r="A60" s="107"/>
      <c r="B60" s="107"/>
      <c r="C60" s="107"/>
      <c r="D60" s="107"/>
      <c r="E60" s="107"/>
      <c r="F60" s="107"/>
      <c r="G60" s="107" t="s">
        <v>156</v>
      </c>
      <c r="H60" s="107"/>
      <c r="I60" s="108">
        <v>1919.7</v>
      </c>
      <c r="J60" s="108" t="s">
        <v>157</v>
      </c>
      <c r="K60" s="108"/>
      <c r="L60" s="108">
        <v>0</v>
      </c>
      <c r="M60" s="108"/>
      <c r="N60" s="108"/>
      <c r="O60" s="108">
        <v>28916.54</v>
      </c>
      <c r="P60" s="108" t="s">
        <v>158</v>
      </c>
      <c r="Q60" s="108"/>
      <c r="R60" s="108">
        <v>0</v>
      </c>
      <c r="S60"/>
    </row>
    <row r="61" spans="1:19" ht="16" thickBot="1">
      <c r="A61" s="107"/>
      <c r="B61" s="107"/>
      <c r="C61" s="107"/>
      <c r="D61" s="107"/>
      <c r="E61" s="107"/>
      <c r="F61" s="107"/>
      <c r="G61" s="107" t="s">
        <v>159</v>
      </c>
      <c r="H61" s="107"/>
      <c r="I61" s="109">
        <v>234</v>
      </c>
      <c r="J61" s="109"/>
      <c r="K61" s="109"/>
      <c r="L61" s="109">
        <v>0</v>
      </c>
      <c r="M61" s="109"/>
      <c r="N61" s="109"/>
      <c r="O61" s="109">
        <v>710</v>
      </c>
      <c r="P61" s="109" t="s">
        <v>160</v>
      </c>
      <c r="Q61" s="109"/>
      <c r="R61" s="109">
        <v>0</v>
      </c>
      <c r="S61"/>
    </row>
    <row r="62" spans="1:19">
      <c r="A62" s="107"/>
      <c r="B62" s="107"/>
      <c r="C62" s="107"/>
      <c r="D62" s="107"/>
      <c r="E62" s="107"/>
      <c r="F62" s="107" t="s">
        <v>161</v>
      </c>
      <c r="G62" s="107"/>
      <c r="H62" s="107"/>
      <c r="I62" s="108">
        <f>ROUND(SUM(I55:I61),5)</f>
        <v>10304.44</v>
      </c>
      <c r="J62" s="108"/>
      <c r="K62" s="108"/>
      <c r="L62" s="108">
        <f>ROUND(SUM(L55:L61),5)</f>
        <v>157.22999999999999</v>
      </c>
      <c r="M62" s="108"/>
      <c r="N62" s="108"/>
      <c r="O62" s="108">
        <f>ROUND(SUM(O55:O61),5)</f>
        <v>33870.559999999998</v>
      </c>
      <c r="P62" s="108"/>
      <c r="Q62" s="108"/>
      <c r="R62" s="108">
        <f>ROUND(SUM(R55:R61),5)</f>
        <v>0</v>
      </c>
      <c r="S62"/>
    </row>
    <row r="63" spans="1:19">
      <c r="A63" s="107"/>
      <c r="B63" s="107"/>
      <c r="C63" s="107"/>
      <c r="D63" s="107"/>
      <c r="E63" s="107"/>
      <c r="F63" s="107" t="s">
        <v>162</v>
      </c>
      <c r="G63" s="107"/>
      <c r="H63" s="107"/>
      <c r="I63" s="108"/>
      <c r="J63" s="108"/>
      <c r="K63" s="108"/>
      <c r="L63" s="108"/>
      <c r="M63" s="108"/>
      <c r="N63" s="108"/>
      <c r="O63" s="108"/>
      <c r="P63" s="108"/>
      <c r="Q63" s="108"/>
      <c r="R63" s="108"/>
      <c r="S63"/>
    </row>
    <row r="64" spans="1:19">
      <c r="A64" s="107"/>
      <c r="B64" s="107"/>
      <c r="C64" s="107"/>
      <c r="D64" s="107"/>
      <c r="E64" s="107"/>
      <c r="F64" s="107"/>
      <c r="G64" s="107" t="s">
        <v>163</v>
      </c>
      <c r="H64" s="107"/>
      <c r="I64" s="108">
        <v>8384.0300000000007</v>
      </c>
      <c r="J64" s="112" t="s">
        <v>164</v>
      </c>
      <c r="K64" s="108"/>
      <c r="L64" s="108">
        <v>1926.96</v>
      </c>
      <c r="M64" s="108" t="s">
        <v>165</v>
      </c>
      <c r="N64" s="108"/>
      <c r="O64" s="108">
        <v>2142.77</v>
      </c>
      <c r="P64" s="108" t="s">
        <v>166</v>
      </c>
      <c r="Q64" s="108"/>
      <c r="R64" s="108">
        <v>803.2</v>
      </c>
      <c r="S64" s="108" t="s">
        <v>285</v>
      </c>
    </row>
    <row r="65" spans="1:19">
      <c r="A65" s="107"/>
      <c r="B65" s="107"/>
      <c r="C65" s="107"/>
      <c r="D65" s="107"/>
      <c r="E65" s="107"/>
      <c r="F65" s="107"/>
      <c r="G65" s="107" t="s">
        <v>167</v>
      </c>
      <c r="H65" s="107"/>
      <c r="I65" s="108">
        <v>451.9</v>
      </c>
      <c r="J65" s="108"/>
      <c r="K65" s="108"/>
      <c r="L65" s="108">
        <v>0</v>
      </c>
      <c r="M65" s="108"/>
      <c r="N65" s="108"/>
      <c r="O65" s="108">
        <v>23107.23</v>
      </c>
      <c r="P65" s="108" t="s">
        <v>168</v>
      </c>
      <c r="Q65" s="108"/>
      <c r="R65" s="108">
        <v>0</v>
      </c>
      <c r="S65"/>
    </row>
    <row r="66" spans="1:19" ht="16" thickBot="1">
      <c r="A66" s="107"/>
      <c r="B66" s="107"/>
      <c r="C66" s="107"/>
      <c r="D66" s="107"/>
      <c r="E66" s="107"/>
      <c r="F66" s="107"/>
      <c r="G66" s="107" t="s">
        <v>169</v>
      </c>
      <c r="H66" s="107"/>
      <c r="I66" s="109">
        <v>0</v>
      </c>
      <c r="J66" s="109"/>
      <c r="K66" s="109"/>
      <c r="L66" s="109">
        <v>0</v>
      </c>
      <c r="M66" s="109"/>
      <c r="N66" s="109"/>
      <c r="O66" s="109">
        <v>1936.79</v>
      </c>
      <c r="P66" s="109" t="s">
        <v>170</v>
      </c>
      <c r="Q66" s="109"/>
      <c r="R66" s="109">
        <v>0</v>
      </c>
      <c r="S66"/>
    </row>
    <row r="67" spans="1:19">
      <c r="A67" s="107"/>
      <c r="B67" s="107"/>
      <c r="C67" s="107"/>
      <c r="D67" s="107"/>
      <c r="E67" s="107"/>
      <c r="F67" s="107" t="s">
        <v>171</v>
      </c>
      <c r="G67" s="107"/>
      <c r="H67" s="107"/>
      <c r="I67" s="108">
        <f>ROUND(SUM(I63:I66),5)</f>
        <v>8835.93</v>
      </c>
      <c r="J67" s="108"/>
      <c r="K67" s="108"/>
      <c r="L67" s="108">
        <f>ROUND(SUM(L63:L66),5)</f>
        <v>1926.96</v>
      </c>
      <c r="M67" s="108"/>
      <c r="N67" s="108"/>
      <c r="O67" s="108">
        <f>ROUND(SUM(O63:O66),5)</f>
        <v>27186.79</v>
      </c>
      <c r="P67" s="108"/>
      <c r="Q67" s="108"/>
      <c r="R67" s="108">
        <f>ROUND(SUM(R63:R66),5)</f>
        <v>803.2</v>
      </c>
      <c r="S67"/>
    </row>
    <row r="68" spans="1:19">
      <c r="A68" s="107"/>
      <c r="B68" s="107"/>
      <c r="C68" s="107"/>
      <c r="D68" s="107"/>
      <c r="E68" s="107"/>
      <c r="F68" s="107" t="s">
        <v>172</v>
      </c>
      <c r="G68" s="107"/>
      <c r="H68" s="107"/>
      <c r="I68" s="108"/>
      <c r="J68" s="108"/>
      <c r="K68" s="108"/>
      <c r="L68" s="108"/>
      <c r="M68" s="108"/>
      <c r="N68" s="108"/>
      <c r="O68" s="108"/>
      <c r="P68" s="108"/>
      <c r="Q68" s="108"/>
      <c r="R68" s="108"/>
      <c r="S68"/>
    </row>
    <row r="69" spans="1:19">
      <c r="A69" s="107"/>
      <c r="B69" s="107"/>
      <c r="C69" s="107"/>
      <c r="D69" s="107"/>
      <c r="E69" s="107"/>
      <c r="F69" s="107"/>
      <c r="G69" s="107" t="s">
        <v>173</v>
      </c>
      <c r="H69" s="107"/>
      <c r="I69" s="108">
        <v>229.5</v>
      </c>
      <c r="J69" s="108"/>
      <c r="K69" s="108"/>
      <c r="L69" s="108">
        <v>0</v>
      </c>
      <c r="M69" s="108"/>
      <c r="N69" s="108"/>
      <c r="O69" s="108">
        <v>1432.31</v>
      </c>
      <c r="P69" s="108" t="s">
        <v>174</v>
      </c>
      <c r="Q69" s="108"/>
      <c r="R69" s="108">
        <v>0</v>
      </c>
      <c r="S69"/>
    </row>
    <row r="70" spans="1:19">
      <c r="A70" s="107"/>
      <c r="B70" s="107"/>
      <c r="C70" s="107"/>
      <c r="D70" s="107"/>
      <c r="E70" s="107"/>
      <c r="F70" s="107"/>
      <c r="G70" s="107" t="s">
        <v>175</v>
      </c>
      <c r="H70" s="107"/>
      <c r="I70" s="108">
        <v>672.8</v>
      </c>
      <c r="J70" s="108" t="s">
        <v>176</v>
      </c>
      <c r="K70" s="108"/>
      <c r="L70" s="108">
        <v>2598.29</v>
      </c>
      <c r="M70" s="108" t="s">
        <v>177</v>
      </c>
      <c r="N70" s="108"/>
      <c r="O70" s="108">
        <v>4901.03</v>
      </c>
      <c r="P70" s="108" t="s">
        <v>178</v>
      </c>
      <c r="Q70" s="108"/>
      <c r="R70" s="108">
        <v>0</v>
      </c>
      <c r="S70"/>
    </row>
    <row r="71" spans="1:19" ht="16" thickBot="1">
      <c r="A71" s="107"/>
      <c r="B71" s="107"/>
      <c r="C71" s="107"/>
      <c r="D71" s="107"/>
      <c r="E71" s="107"/>
      <c r="F71" s="107"/>
      <c r="G71" s="107" t="s">
        <v>179</v>
      </c>
      <c r="H71" s="107"/>
      <c r="I71" s="109">
        <v>574.07000000000005</v>
      </c>
      <c r="J71" s="109" t="s">
        <v>180</v>
      </c>
      <c r="K71" s="109"/>
      <c r="L71" s="109">
        <v>235.82</v>
      </c>
      <c r="M71" s="109"/>
      <c r="N71" s="109"/>
      <c r="O71" s="109">
        <v>1104</v>
      </c>
      <c r="P71" s="109" t="s">
        <v>181</v>
      </c>
      <c r="Q71" s="109"/>
      <c r="R71" s="109">
        <v>0</v>
      </c>
      <c r="S71"/>
    </row>
    <row r="72" spans="1:19">
      <c r="A72" s="107"/>
      <c r="B72" s="107"/>
      <c r="C72" s="107"/>
      <c r="D72" s="107"/>
      <c r="E72" s="107"/>
      <c r="F72" s="107" t="s">
        <v>182</v>
      </c>
      <c r="G72" s="107"/>
      <c r="H72" s="107"/>
      <c r="I72" s="108">
        <f>ROUND(SUM(I68:I71),5)</f>
        <v>1476.37</v>
      </c>
      <c r="J72" s="108"/>
      <c r="K72" s="108"/>
      <c r="L72" s="108">
        <f>ROUND(SUM(L68:L71),5)</f>
        <v>2834.11</v>
      </c>
      <c r="M72" s="108"/>
      <c r="N72" s="108"/>
      <c r="O72" s="108">
        <f>ROUND(SUM(O68:O71),5)</f>
        <v>7437.34</v>
      </c>
      <c r="P72" s="108"/>
      <c r="Q72" s="108"/>
      <c r="R72" s="108">
        <f>ROUND(SUM(R68:R71),5)</f>
        <v>0</v>
      </c>
      <c r="S72"/>
    </row>
    <row r="73" spans="1:19">
      <c r="A73" s="107"/>
      <c r="B73" s="107"/>
      <c r="C73" s="107"/>
      <c r="D73" s="107"/>
      <c r="E73" s="107"/>
      <c r="F73" s="107" t="s">
        <v>129</v>
      </c>
      <c r="G73" s="107"/>
      <c r="H73" s="107"/>
      <c r="I73" s="108"/>
      <c r="J73" s="108"/>
      <c r="K73" s="108"/>
      <c r="L73" s="108"/>
      <c r="M73" s="108"/>
      <c r="N73" s="108"/>
      <c r="O73" s="108"/>
      <c r="P73" s="108"/>
      <c r="Q73" s="108"/>
      <c r="R73" s="108"/>
      <c r="S73"/>
    </row>
    <row r="74" spans="1:19">
      <c r="A74" s="107"/>
      <c r="B74" s="107"/>
      <c r="C74" s="107"/>
      <c r="D74" s="107"/>
      <c r="E74" s="107"/>
      <c r="F74" s="107"/>
      <c r="G74" s="107" t="s">
        <v>183</v>
      </c>
      <c r="H74" s="107"/>
      <c r="I74" s="108">
        <v>212.9</v>
      </c>
      <c r="J74" s="108"/>
      <c r="K74" s="108"/>
      <c r="L74" s="108">
        <v>48.39</v>
      </c>
      <c r="M74" s="108"/>
      <c r="N74" s="108"/>
      <c r="O74" s="108">
        <v>44.16</v>
      </c>
      <c r="P74" s="108"/>
      <c r="Q74" s="108"/>
      <c r="R74" s="108">
        <v>587.77</v>
      </c>
      <c r="S74" s="108" t="s">
        <v>287</v>
      </c>
    </row>
    <row r="75" spans="1:19">
      <c r="A75" s="107"/>
      <c r="B75" s="107"/>
      <c r="C75" s="107"/>
      <c r="D75" s="107"/>
      <c r="E75" s="107"/>
      <c r="F75" s="107"/>
      <c r="G75" s="107" t="s">
        <v>130</v>
      </c>
      <c r="H75" s="107"/>
      <c r="I75" s="108">
        <v>3236.71</v>
      </c>
      <c r="J75" s="108" t="s">
        <v>184</v>
      </c>
      <c r="K75" s="108"/>
      <c r="L75" s="108">
        <v>-1904.78</v>
      </c>
      <c r="M75" s="108"/>
      <c r="N75" s="108"/>
      <c r="O75" s="108">
        <v>2112.64</v>
      </c>
      <c r="P75" s="108" t="s">
        <v>185</v>
      </c>
      <c r="Q75" s="108"/>
      <c r="R75" s="108">
        <v>664.09</v>
      </c>
      <c r="S75" s="108" t="s">
        <v>286</v>
      </c>
    </row>
    <row r="76" spans="1:19">
      <c r="A76" s="107"/>
      <c r="B76" s="107"/>
      <c r="C76" s="107"/>
      <c r="D76" s="107"/>
      <c r="E76" s="107"/>
      <c r="F76" s="107"/>
      <c r="G76" s="107" t="s">
        <v>186</v>
      </c>
      <c r="H76" s="107"/>
      <c r="I76" s="108">
        <v>0</v>
      </c>
      <c r="J76" s="108"/>
      <c r="K76" s="108"/>
      <c r="L76" s="108">
        <v>0</v>
      </c>
      <c r="M76" s="108"/>
      <c r="N76" s="108"/>
      <c r="O76" s="108">
        <v>555</v>
      </c>
      <c r="P76" s="108" t="s">
        <v>187</v>
      </c>
      <c r="Q76" s="108"/>
      <c r="R76" s="108">
        <v>0</v>
      </c>
      <c r="S76"/>
    </row>
    <row r="77" spans="1:19">
      <c r="A77" s="107"/>
      <c r="B77" s="107"/>
      <c r="C77" s="107"/>
      <c r="D77" s="107"/>
      <c r="E77" s="107"/>
      <c r="F77" s="107"/>
      <c r="G77" s="107" t="s">
        <v>188</v>
      </c>
      <c r="H77" s="107"/>
      <c r="I77" s="108">
        <v>399.85000000000036</v>
      </c>
      <c r="J77" s="108"/>
      <c r="K77" s="108"/>
      <c r="L77" s="108">
        <v>30987.15</v>
      </c>
      <c r="M77" s="108" t="s">
        <v>189</v>
      </c>
      <c r="N77" s="108"/>
      <c r="O77" s="108">
        <v>195751.74</v>
      </c>
      <c r="P77" s="108" t="s">
        <v>190</v>
      </c>
      <c r="Q77" s="108"/>
      <c r="R77" s="108">
        <v>85.08</v>
      </c>
      <c r="S77"/>
    </row>
    <row r="78" spans="1:19">
      <c r="A78" s="107"/>
      <c r="B78" s="107"/>
      <c r="C78" s="107"/>
      <c r="D78" s="107"/>
      <c r="E78" s="107"/>
      <c r="F78" s="107"/>
      <c r="G78" s="107" t="s">
        <v>191</v>
      </c>
      <c r="H78" s="107"/>
      <c r="I78" s="108">
        <v>7061.37</v>
      </c>
      <c r="J78" s="112" t="s">
        <v>192</v>
      </c>
      <c r="K78" s="108"/>
      <c r="L78" s="108">
        <v>0</v>
      </c>
      <c r="M78" s="108"/>
      <c r="N78" s="108"/>
      <c r="O78" s="108">
        <v>5489.98</v>
      </c>
      <c r="P78" s="108" t="s">
        <v>193</v>
      </c>
      <c r="Q78" s="108"/>
      <c r="R78" s="108">
        <v>0</v>
      </c>
      <c r="S78"/>
    </row>
    <row r="79" spans="1:19">
      <c r="A79" s="107"/>
      <c r="B79" s="107"/>
      <c r="C79" s="107"/>
      <c r="D79" s="107"/>
      <c r="E79" s="107"/>
      <c r="F79" s="107"/>
      <c r="G79" s="107" t="s">
        <v>194</v>
      </c>
      <c r="H79" s="107"/>
      <c r="I79" s="108">
        <v>230.58</v>
      </c>
      <c r="J79" s="108"/>
      <c r="K79" s="108"/>
      <c r="L79" s="108">
        <v>793.41</v>
      </c>
      <c r="M79" s="108" t="s">
        <v>195</v>
      </c>
      <c r="N79" s="108"/>
      <c r="O79" s="108">
        <v>4219.22</v>
      </c>
      <c r="P79" s="108" t="s">
        <v>193</v>
      </c>
      <c r="Q79" s="108"/>
      <c r="R79" s="108">
        <v>0</v>
      </c>
      <c r="S79"/>
    </row>
    <row r="80" spans="1:19">
      <c r="A80" s="107"/>
      <c r="B80" s="107"/>
      <c r="C80" s="107"/>
      <c r="D80" s="107"/>
      <c r="E80" s="107"/>
      <c r="F80" s="107"/>
      <c r="G80" s="107" t="s">
        <v>196</v>
      </c>
      <c r="H80" s="107"/>
      <c r="I80" s="108">
        <v>860</v>
      </c>
      <c r="J80" s="108" t="s">
        <v>197</v>
      </c>
      <c r="K80" s="108"/>
      <c r="L80" s="108">
        <v>14.81</v>
      </c>
      <c r="M80" s="108"/>
      <c r="N80" s="108"/>
      <c r="O80" s="108">
        <v>405.8</v>
      </c>
      <c r="P80" s="108" t="s">
        <v>193</v>
      </c>
      <c r="Q80" s="108"/>
      <c r="R80" s="108">
        <v>202.47</v>
      </c>
      <c r="S80" s="108" t="s">
        <v>287</v>
      </c>
    </row>
    <row r="81" spans="1:19">
      <c r="A81" s="107"/>
      <c r="B81" s="107"/>
      <c r="C81" s="107"/>
      <c r="D81" s="107"/>
      <c r="E81" s="107"/>
      <c r="F81" s="107"/>
      <c r="G81" s="107" t="s">
        <v>133</v>
      </c>
      <c r="H81" s="107"/>
      <c r="I81" s="108">
        <v>0</v>
      </c>
      <c r="J81" s="108"/>
      <c r="K81" s="108"/>
      <c r="L81" s="108">
        <v>803.91</v>
      </c>
      <c r="M81" s="108" t="s">
        <v>198</v>
      </c>
      <c r="N81" s="108"/>
      <c r="O81" s="108">
        <v>1183.8399999999999</v>
      </c>
      <c r="P81" s="108" t="s">
        <v>199</v>
      </c>
      <c r="Q81" s="108"/>
      <c r="R81" s="108">
        <v>0</v>
      </c>
      <c r="S81"/>
    </row>
    <row r="82" spans="1:19">
      <c r="A82" s="107"/>
      <c r="B82" s="107"/>
      <c r="C82" s="107"/>
      <c r="D82" s="107"/>
      <c r="E82" s="107"/>
      <c r="F82" s="107"/>
      <c r="G82" s="107" t="s">
        <v>200</v>
      </c>
      <c r="H82" s="107"/>
      <c r="I82" s="108">
        <v>0</v>
      </c>
      <c r="J82" s="108"/>
      <c r="K82" s="108"/>
      <c r="L82" s="108">
        <v>0</v>
      </c>
      <c r="M82" s="108"/>
      <c r="N82" s="108"/>
      <c r="O82" s="108">
        <v>17.100000000000001</v>
      </c>
      <c r="P82" s="108"/>
      <c r="Q82" s="108"/>
      <c r="R82" s="108">
        <v>0</v>
      </c>
      <c r="S82"/>
    </row>
    <row r="83" spans="1:19">
      <c r="A83" s="107"/>
      <c r="B83" s="107"/>
      <c r="C83" s="107"/>
      <c r="D83" s="107"/>
      <c r="E83" s="107"/>
      <c r="F83" s="107"/>
      <c r="G83" s="107" t="s">
        <v>134</v>
      </c>
      <c r="H83" s="107"/>
      <c r="I83" s="108">
        <v>25.29</v>
      </c>
      <c r="J83" s="108"/>
      <c r="K83" s="108"/>
      <c r="L83" s="108">
        <v>0</v>
      </c>
      <c r="M83" s="108"/>
      <c r="N83" s="108"/>
      <c r="O83" s="108">
        <v>41.66</v>
      </c>
      <c r="P83" s="108"/>
      <c r="Q83" s="108"/>
      <c r="R83" s="108">
        <v>0</v>
      </c>
      <c r="S83"/>
    </row>
    <row r="84" spans="1:19">
      <c r="A84" s="107"/>
      <c r="B84" s="107"/>
      <c r="C84" s="107"/>
      <c r="D84" s="107"/>
      <c r="E84" s="107"/>
      <c r="F84" s="107"/>
      <c r="G84" s="107" t="s">
        <v>201</v>
      </c>
      <c r="H84" s="107"/>
      <c r="I84" s="108">
        <v>8880.18</v>
      </c>
      <c r="J84" s="108" t="s">
        <v>202</v>
      </c>
      <c r="K84" s="108"/>
      <c r="L84" s="108">
        <v>3226.83</v>
      </c>
      <c r="M84" s="108" t="s">
        <v>203</v>
      </c>
      <c r="N84" s="108"/>
      <c r="O84" s="108">
        <v>15379.91</v>
      </c>
      <c r="P84" s="108" t="s">
        <v>204</v>
      </c>
      <c r="Q84" s="108"/>
      <c r="R84" s="108">
        <v>362</v>
      </c>
      <c r="S84"/>
    </row>
    <row r="85" spans="1:19">
      <c r="A85" s="107"/>
      <c r="B85" s="107"/>
      <c r="C85" s="107"/>
      <c r="D85" s="107"/>
      <c r="E85" s="107"/>
      <c r="F85" s="107"/>
      <c r="G85" s="107" t="s">
        <v>205</v>
      </c>
      <c r="H85" s="107"/>
      <c r="I85" s="108">
        <v>0</v>
      </c>
      <c r="J85" s="108"/>
      <c r="K85" s="108"/>
      <c r="L85" s="108">
        <v>0</v>
      </c>
      <c r="M85" s="108"/>
      <c r="N85" s="108"/>
      <c r="O85" s="108">
        <v>4.1399999999999997</v>
      </c>
      <c r="P85" s="108"/>
      <c r="Q85" s="108"/>
      <c r="R85" s="108">
        <v>0</v>
      </c>
      <c r="S85"/>
    </row>
    <row r="86" spans="1:19">
      <c r="A86" s="107"/>
      <c r="B86" s="107"/>
      <c r="C86" s="107"/>
      <c r="D86" s="107"/>
      <c r="E86" s="107"/>
      <c r="F86" s="107"/>
      <c r="G86" s="107" t="s">
        <v>206</v>
      </c>
      <c r="H86" s="107"/>
      <c r="I86" s="108">
        <v>0</v>
      </c>
      <c r="J86" s="108"/>
      <c r="K86" s="108"/>
      <c r="L86" s="108">
        <v>0</v>
      </c>
      <c r="M86" s="108"/>
      <c r="N86" s="108"/>
      <c r="O86" s="108">
        <v>0</v>
      </c>
      <c r="P86" s="108"/>
      <c r="Q86" s="108"/>
      <c r="R86" s="108">
        <v>0</v>
      </c>
      <c r="S86"/>
    </row>
    <row r="87" spans="1:19">
      <c r="A87" s="107"/>
      <c r="B87" s="107"/>
      <c r="C87" s="107"/>
      <c r="D87" s="107"/>
      <c r="E87" s="107"/>
      <c r="F87" s="107"/>
      <c r="G87" s="107" t="s">
        <v>207</v>
      </c>
      <c r="H87" s="107"/>
      <c r="I87" s="108">
        <v>59.72</v>
      </c>
      <c r="J87" s="108"/>
      <c r="K87" s="108"/>
      <c r="L87" s="108">
        <v>5.33</v>
      </c>
      <c r="M87" s="108"/>
      <c r="N87" s="108"/>
      <c r="O87" s="108">
        <v>2406.0500000000002</v>
      </c>
      <c r="P87" s="108" t="s">
        <v>208</v>
      </c>
      <c r="Q87" s="108"/>
      <c r="R87" s="108">
        <v>0</v>
      </c>
      <c r="S87"/>
    </row>
    <row r="88" spans="1:19" ht="16" thickBot="1">
      <c r="A88" s="107"/>
      <c r="B88" s="107"/>
      <c r="C88" s="107"/>
      <c r="D88" s="107"/>
      <c r="E88" s="107"/>
      <c r="F88" s="107"/>
      <c r="G88" s="107" t="s">
        <v>209</v>
      </c>
      <c r="H88" s="107"/>
      <c r="I88" s="109">
        <v>371.65</v>
      </c>
      <c r="J88" s="109"/>
      <c r="K88" s="109"/>
      <c r="L88" s="109">
        <v>2877.12</v>
      </c>
      <c r="M88" s="109" t="s">
        <v>210</v>
      </c>
      <c r="N88" s="109"/>
      <c r="O88" s="109">
        <v>15072.7</v>
      </c>
      <c r="P88" s="109" t="s">
        <v>211</v>
      </c>
      <c r="Q88" s="109"/>
      <c r="R88" s="109">
        <v>138.5</v>
      </c>
      <c r="S88"/>
    </row>
    <row r="89" spans="1:19">
      <c r="A89" s="107"/>
      <c r="B89" s="107"/>
      <c r="C89" s="107"/>
      <c r="D89" s="107"/>
      <c r="E89" s="107"/>
      <c r="F89" s="107" t="s">
        <v>135</v>
      </c>
      <c r="G89" s="107"/>
      <c r="H89" s="107"/>
      <c r="I89" s="108">
        <f>ROUND(SUM(I73:I88),5)</f>
        <v>21338.25</v>
      </c>
      <c r="J89" s="108"/>
      <c r="K89" s="108"/>
      <c r="L89" s="108">
        <f>ROUND(SUM(L73:L88),5)</f>
        <v>36852.17</v>
      </c>
      <c r="M89" s="108"/>
      <c r="N89" s="108"/>
      <c r="O89" s="108">
        <f>ROUND(SUM(O73:O88),5)</f>
        <v>242683.94</v>
      </c>
      <c r="P89" s="108"/>
      <c r="Q89" s="108"/>
      <c r="R89" s="108">
        <f>ROUND(SUM(R73:R88),5)</f>
        <v>2039.91</v>
      </c>
      <c r="S89"/>
    </row>
    <row r="90" spans="1:19" ht="16" thickBot="1">
      <c r="A90" s="107"/>
      <c r="B90" s="107"/>
      <c r="C90" s="107"/>
      <c r="D90" s="107"/>
      <c r="E90" s="107"/>
      <c r="F90" s="107" t="s">
        <v>212</v>
      </c>
      <c r="G90" s="107"/>
      <c r="H90" s="107"/>
      <c r="I90" s="109">
        <v>0</v>
      </c>
      <c r="J90" s="109"/>
      <c r="K90" s="109"/>
      <c r="L90" s="109">
        <v>0</v>
      </c>
      <c r="M90" s="109"/>
      <c r="N90" s="109"/>
      <c r="O90" s="109">
        <v>0</v>
      </c>
      <c r="P90" s="109"/>
      <c r="Q90" s="109"/>
      <c r="R90" s="109">
        <v>0</v>
      </c>
      <c r="S90"/>
    </row>
    <row r="91" spans="1:19" ht="16" thickBot="1">
      <c r="A91" s="107"/>
      <c r="B91" s="107"/>
      <c r="C91" s="107"/>
      <c r="D91" s="107"/>
      <c r="E91" s="107" t="s">
        <v>213</v>
      </c>
      <c r="F91" s="107"/>
      <c r="G91" s="107"/>
      <c r="H91" s="107"/>
      <c r="I91" s="108">
        <f>ROUND(I48+I54+I62+I67+I72+SUM(I89:I90),5)</f>
        <v>41980.07</v>
      </c>
      <c r="J91" s="108"/>
      <c r="K91" s="108"/>
      <c r="L91" s="108">
        <f>ROUND(L48+L54+L62+L67+L72+SUM(L89:L90),5)</f>
        <v>44684.81</v>
      </c>
      <c r="M91" s="108"/>
      <c r="N91" s="108"/>
      <c r="O91" s="108">
        <f>ROUND(O48+O54+O62+O67+O72+SUM(O89:O90),5)</f>
        <v>315781.03999999998</v>
      </c>
      <c r="P91" s="108"/>
      <c r="Q91" s="108"/>
      <c r="R91" s="108">
        <f>ROUND(R48+R54+R62+R67+R72+SUM(R89:R90),5)</f>
        <v>2857.2</v>
      </c>
      <c r="S91" s="115" t="s">
        <v>302</v>
      </c>
    </row>
    <row r="92" spans="1:19" ht="16" thickBot="1">
      <c r="A92" s="107"/>
      <c r="B92" s="107"/>
      <c r="C92" s="107"/>
      <c r="D92" s="107" t="s">
        <v>214</v>
      </c>
      <c r="E92" s="107"/>
      <c r="F92" s="107"/>
      <c r="G92" s="107"/>
      <c r="H92" s="107"/>
      <c r="I92" s="111">
        <f>ROUND(I8+I14+I21+I31+I40+I47+SUM(I91:I91),5)</f>
        <v>44984.61</v>
      </c>
      <c r="J92" s="111"/>
      <c r="K92" s="111"/>
      <c r="L92" s="111">
        <f>ROUND(L8+L14+L21+L31+L40+L47+SUM(L91:L91),5)</f>
        <v>47959.53</v>
      </c>
      <c r="M92" s="111"/>
      <c r="N92" s="111"/>
      <c r="O92" s="111">
        <f>ROUND(O8+O14+O21+O31+O40+O47+SUM(O91:O91),5)</f>
        <v>318318.46999999997</v>
      </c>
      <c r="P92" s="111"/>
      <c r="Q92" s="111"/>
      <c r="R92" s="111">
        <f>ROUND(R8+R14+R21+R31+R40+R47+SUM(R91:R91),5)</f>
        <v>3916.4</v>
      </c>
      <c r="S92" s="116">
        <f>SUM(I92:R92)</f>
        <v>415179.01</v>
      </c>
    </row>
  </sheetData>
  <pageMargins left="0.75" right="0.75" top="1" bottom="1" header="0.5" footer="0.5"/>
  <pageSetup orientation="portrait" horizontalDpi="4294967292" verticalDpi="4294967292"/>
  <drawing r:id="rId1"/>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2"/>
  <sheetViews>
    <sheetView workbookViewId="0">
      <selection activeCell="K42" sqref="K42"/>
    </sheetView>
  </sheetViews>
  <sheetFormatPr baseColWidth="10" defaultColWidth="8.83203125" defaultRowHeight="15" x14ac:dyDescent="0"/>
  <cols>
    <col min="5" max="5" width="36.5" customWidth="1"/>
  </cols>
  <sheetData>
    <row r="1" spans="1:13">
      <c r="A1" s="198" t="s">
        <v>223</v>
      </c>
    </row>
    <row r="2" spans="1:13">
      <c r="A2" s="198" t="s">
        <v>299</v>
      </c>
    </row>
    <row r="4" spans="1:13">
      <c r="A4" s="94" t="s">
        <v>224</v>
      </c>
      <c r="B4" s="94"/>
      <c r="C4" s="94"/>
      <c r="D4" s="94"/>
      <c r="E4" s="94"/>
      <c r="F4" s="94" t="s">
        <v>225</v>
      </c>
      <c r="G4" s="94"/>
      <c r="H4" s="94"/>
      <c r="I4" s="94"/>
      <c r="J4" s="94"/>
      <c r="K4" s="94"/>
      <c r="L4" s="94"/>
    </row>
    <row r="5" spans="1:13">
      <c r="A5" s="94" t="s">
        <v>95</v>
      </c>
      <c r="B5" s="94"/>
      <c r="C5" s="94"/>
      <c r="D5" s="94"/>
      <c r="E5" s="94"/>
      <c r="F5" s="94"/>
      <c r="G5" s="94"/>
      <c r="H5" s="94"/>
      <c r="I5" s="94"/>
      <c r="J5" s="94"/>
      <c r="K5" s="94"/>
      <c r="L5" s="94"/>
    </row>
    <row r="6" spans="1:13">
      <c r="A6" s="94" t="s">
        <v>226</v>
      </c>
      <c r="B6" s="94"/>
      <c r="C6" s="94"/>
      <c r="D6" s="94"/>
      <c r="E6" s="94"/>
      <c r="F6" s="94"/>
      <c r="G6" s="94"/>
      <c r="H6" s="94"/>
      <c r="I6" s="94"/>
      <c r="J6" s="94"/>
      <c r="K6" s="94"/>
      <c r="L6" s="94"/>
    </row>
    <row r="7" spans="1:13">
      <c r="A7" s="94"/>
      <c r="B7" s="94"/>
      <c r="C7" s="94"/>
      <c r="D7" s="94"/>
      <c r="E7" s="94"/>
      <c r="G7" s="118"/>
      <c r="H7" s="118"/>
      <c r="J7" s="118"/>
      <c r="K7" s="118"/>
      <c r="L7" s="118"/>
    </row>
    <row r="8" spans="1:13">
      <c r="A8" s="94"/>
      <c r="B8" s="94"/>
      <c r="C8" s="94"/>
      <c r="D8" s="94"/>
      <c r="E8" s="94"/>
      <c r="F8" s="118" t="s">
        <v>99</v>
      </c>
      <c r="G8" s="118" t="s">
        <v>20</v>
      </c>
      <c r="H8" s="118"/>
      <c r="I8" s="118" t="s">
        <v>101</v>
      </c>
      <c r="J8" s="118" t="s">
        <v>20</v>
      </c>
      <c r="K8" s="118"/>
      <c r="L8" s="118" t="s">
        <v>102</v>
      </c>
      <c r="M8" s="118" t="s">
        <v>20</v>
      </c>
    </row>
    <row r="9" spans="1:13">
      <c r="A9" s="94" t="s">
        <v>105</v>
      </c>
      <c r="B9" s="94"/>
      <c r="C9" s="94"/>
      <c r="D9" s="94"/>
      <c r="E9" s="94"/>
      <c r="F9" s="117"/>
      <c r="G9" s="117"/>
      <c r="H9" s="117"/>
      <c r="I9" s="117"/>
      <c r="J9" s="117"/>
      <c r="K9" s="117"/>
      <c r="L9" s="117"/>
    </row>
    <row r="10" spans="1:13">
      <c r="A10" s="94"/>
      <c r="B10" s="94" t="s">
        <v>75</v>
      </c>
      <c r="C10" s="94"/>
      <c r="D10" s="94"/>
      <c r="E10" s="94"/>
      <c r="F10" s="117"/>
      <c r="G10" s="117"/>
      <c r="H10" s="117"/>
      <c r="I10" s="117"/>
      <c r="J10" s="117"/>
      <c r="K10" s="117"/>
      <c r="L10" s="117"/>
    </row>
    <row r="11" spans="1:13">
      <c r="A11" s="94"/>
      <c r="B11" s="94"/>
      <c r="C11" s="94" t="s">
        <v>121</v>
      </c>
      <c r="D11" s="94"/>
      <c r="E11" s="94"/>
      <c r="F11" s="117">
        <v>0</v>
      </c>
      <c r="G11" s="117"/>
      <c r="H11" s="117"/>
      <c r="I11" s="117">
        <v>0</v>
      </c>
      <c r="J11" s="117"/>
      <c r="K11" s="117"/>
      <c r="L11" s="117">
        <v>0</v>
      </c>
    </row>
    <row r="12" spans="1:13">
      <c r="A12" s="94"/>
      <c r="B12" s="94"/>
      <c r="C12" s="94" t="s">
        <v>118</v>
      </c>
      <c r="D12" s="94"/>
      <c r="E12" s="94"/>
      <c r="F12" s="117">
        <v>0</v>
      </c>
      <c r="G12" s="117"/>
      <c r="H12" s="117"/>
      <c r="I12" s="117">
        <v>0</v>
      </c>
      <c r="J12" s="117"/>
      <c r="K12" s="117"/>
      <c r="L12" s="117">
        <v>0</v>
      </c>
    </row>
    <row r="13" spans="1:13">
      <c r="A13" s="94"/>
      <c r="B13" s="94"/>
      <c r="C13" s="94" t="s">
        <v>119</v>
      </c>
      <c r="D13" s="94"/>
      <c r="E13" s="94"/>
      <c r="F13" s="117">
        <v>0</v>
      </c>
      <c r="G13" s="117"/>
      <c r="H13" s="117"/>
      <c r="I13" s="117">
        <v>120</v>
      </c>
      <c r="J13" s="117"/>
      <c r="K13" s="117"/>
      <c r="L13" s="117">
        <v>1</v>
      </c>
    </row>
    <row r="14" spans="1:13">
      <c r="A14" s="94"/>
      <c r="B14" s="94"/>
      <c r="C14" s="94" t="s">
        <v>120</v>
      </c>
      <c r="D14" s="94"/>
      <c r="E14" s="94"/>
      <c r="F14" s="117">
        <v>0</v>
      </c>
      <c r="G14" s="117"/>
      <c r="H14" s="117"/>
      <c r="I14" s="117">
        <v>0</v>
      </c>
      <c r="J14" s="117"/>
      <c r="K14" s="117"/>
      <c r="L14" s="117">
        <v>0</v>
      </c>
    </row>
    <row r="15" spans="1:13">
      <c r="A15" s="94"/>
      <c r="B15" s="94"/>
      <c r="C15" s="94" t="s">
        <v>125</v>
      </c>
      <c r="D15" s="94"/>
      <c r="E15" s="94"/>
      <c r="F15" s="117">
        <v>0</v>
      </c>
      <c r="G15" s="117"/>
      <c r="H15" s="117"/>
      <c r="I15" s="117">
        <v>219</v>
      </c>
      <c r="J15" s="117"/>
      <c r="K15" s="117"/>
      <c r="L15" s="117">
        <v>8</v>
      </c>
    </row>
    <row r="16" spans="1:13">
      <c r="A16" s="94"/>
      <c r="B16" s="94"/>
      <c r="C16" s="94" t="s">
        <v>123</v>
      </c>
      <c r="D16" s="94"/>
      <c r="E16" s="94"/>
      <c r="F16" s="117">
        <v>0</v>
      </c>
      <c r="G16" s="117"/>
      <c r="H16" s="117"/>
      <c r="I16" s="117">
        <v>0</v>
      </c>
      <c r="J16" s="117"/>
      <c r="K16" s="117"/>
      <c r="L16" s="117">
        <v>0</v>
      </c>
    </row>
    <row r="17" spans="1:12">
      <c r="A17" s="94"/>
      <c r="B17" s="94" t="s">
        <v>127</v>
      </c>
      <c r="C17" s="94"/>
      <c r="D17" s="94"/>
      <c r="E17" s="94"/>
      <c r="F17" s="117">
        <v>0</v>
      </c>
      <c r="G17" s="117"/>
      <c r="H17" s="117"/>
      <c r="I17" s="117">
        <v>339</v>
      </c>
      <c r="J17" s="117"/>
      <c r="K17" s="117"/>
      <c r="L17" s="117">
        <v>9</v>
      </c>
    </row>
    <row r="18" spans="1:12">
      <c r="A18" s="94"/>
      <c r="B18" s="94" t="s">
        <v>76</v>
      </c>
      <c r="C18" s="94"/>
      <c r="D18" s="94"/>
      <c r="E18" s="94"/>
      <c r="F18" s="117"/>
      <c r="G18" s="117"/>
      <c r="H18" s="117"/>
      <c r="I18" s="117"/>
      <c r="J18" s="117"/>
      <c r="K18" s="117"/>
      <c r="L18" s="117"/>
    </row>
    <row r="19" spans="1:12">
      <c r="A19" s="94"/>
      <c r="B19" s="94"/>
      <c r="C19" s="94" t="s">
        <v>113</v>
      </c>
      <c r="D19" s="94"/>
      <c r="E19" s="94"/>
      <c r="F19" s="117">
        <v>0</v>
      </c>
      <c r="G19" s="117"/>
      <c r="H19" s="117"/>
      <c r="I19" s="117">
        <v>0</v>
      </c>
      <c r="J19" s="117"/>
      <c r="K19" s="117"/>
      <c r="L19" s="117">
        <v>0</v>
      </c>
    </row>
    <row r="20" spans="1:12">
      <c r="A20" s="94"/>
      <c r="B20" s="94"/>
      <c r="C20" s="94" t="s">
        <v>115</v>
      </c>
      <c r="D20" s="94"/>
      <c r="E20" s="94"/>
      <c r="F20" s="117">
        <v>0</v>
      </c>
      <c r="G20" s="117"/>
      <c r="H20" s="117"/>
      <c r="I20" s="117">
        <v>0</v>
      </c>
      <c r="J20" s="117"/>
      <c r="K20" s="117"/>
      <c r="L20" s="117">
        <v>0</v>
      </c>
    </row>
    <row r="21" spans="1:12">
      <c r="A21" s="94"/>
      <c r="B21" s="94"/>
      <c r="C21" s="94" t="s">
        <v>114</v>
      </c>
      <c r="D21" s="94"/>
      <c r="E21" s="94"/>
      <c r="F21" s="117">
        <v>0</v>
      </c>
      <c r="G21" s="117"/>
      <c r="H21" s="117"/>
      <c r="I21" s="117">
        <v>0</v>
      </c>
      <c r="J21" s="117"/>
      <c r="K21" s="117"/>
      <c r="L21" s="117">
        <v>0</v>
      </c>
    </row>
    <row r="22" spans="1:12">
      <c r="A22" s="94"/>
      <c r="B22" s="94" t="s">
        <v>117</v>
      </c>
      <c r="C22" s="94"/>
      <c r="D22" s="94"/>
      <c r="E22" s="94"/>
      <c r="F22" s="117">
        <v>0</v>
      </c>
      <c r="G22" s="117"/>
      <c r="H22" s="117"/>
      <c r="I22" s="117">
        <v>0</v>
      </c>
      <c r="J22" s="117"/>
      <c r="K22" s="117"/>
      <c r="L22" s="117">
        <v>0</v>
      </c>
    </row>
    <row r="23" spans="1:12">
      <c r="A23" s="94"/>
      <c r="B23" s="94" t="s">
        <v>106</v>
      </c>
      <c r="C23" s="94"/>
      <c r="D23" s="94"/>
      <c r="E23" s="94"/>
      <c r="F23" s="117"/>
      <c r="G23" s="117"/>
      <c r="H23" s="117"/>
      <c r="I23" s="117"/>
      <c r="J23" s="117"/>
      <c r="K23" s="117"/>
      <c r="L23" s="117"/>
    </row>
    <row r="24" spans="1:12">
      <c r="A24" s="94"/>
      <c r="B24" s="94"/>
      <c r="C24" s="94" t="s">
        <v>107</v>
      </c>
      <c r="D24" s="94"/>
      <c r="E24" s="94"/>
      <c r="F24" s="117">
        <v>0</v>
      </c>
      <c r="G24" s="117"/>
      <c r="H24" s="117"/>
      <c r="I24" s="117">
        <v>0</v>
      </c>
      <c r="J24" s="117"/>
      <c r="K24" s="117"/>
      <c r="L24" s="117">
        <v>0</v>
      </c>
    </row>
    <row r="25" spans="1:12">
      <c r="A25" s="94"/>
      <c r="B25" s="94"/>
      <c r="C25" s="94" t="s">
        <v>109</v>
      </c>
      <c r="D25" s="94"/>
      <c r="E25" s="94"/>
      <c r="F25" s="117">
        <v>0</v>
      </c>
      <c r="G25" s="117"/>
      <c r="H25" s="117"/>
      <c r="I25" s="117">
        <v>0</v>
      </c>
      <c r="J25" s="117"/>
      <c r="K25" s="117"/>
      <c r="L25" s="117">
        <v>0</v>
      </c>
    </row>
    <row r="26" spans="1:12">
      <c r="A26" s="94"/>
      <c r="B26" s="94"/>
      <c r="C26" s="94" t="s">
        <v>110</v>
      </c>
      <c r="D26" s="94"/>
      <c r="E26" s="94"/>
      <c r="F26" s="117">
        <v>0</v>
      </c>
      <c r="G26" s="117"/>
      <c r="H26" s="117"/>
      <c r="I26" s="117">
        <v>0</v>
      </c>
      <c r="J26" s="117"/>
      <c r="K26" s="117"/>
      <c r="L26" s="117">
        <v>0</v>
      </c>
    </row>
    <row r="27" spans="1:12">
      <c r="A27" s="94"/>
      <c r="B27" s="94"/>
      <c r="C27" s="94" t="s">
        <v>108</v>
      </c>
      <c r="D27" s="94"/>
      <c r="E27" s="94"/>
      <c r="F27" s="117">
        <v>0</v>
      </c>
      <c r="G27" s="117"/>
      <c r="H27" s="117"/>
      <c r="I27" s="117">
        <v>0</v>
      </c>
      <c r="J27" s="117"/>
      <c r="K27" s="117"/>
      <c r="L27" s="117">
        <v>0</v>
      </c>
    </row>
    <row r="28" spans="1:12">
      <c r="A28" s="94"/>
      <c r="B28" s="94" t="s">
        <v>111</v>
      </c>
      <c r="C28" s="94"/>
      <c r="D28" s="94"/>
      <c r="E28" s="94"/>
      <c r="F28" s="117">
        <v>0</v>
      </c>
      <c r="G28" s="117"/>
      <c r="H28" s="117"/>
      <c r="I28" s="117">
        <v>0</v>
      </c>
      <c r="J28" s="117"/>
      <c r="K28" s="117"/>
      <c r="L28" s="117">
        <v>0</v>
      </c>
    </row>
    <row r="29" spans="1:12">
      <c r="A29" s="94"/>
      <c r="B29" s="94" t="s">
        <v>77</v>
      </c>
      <c r="C29" s="94"/>
      <c r="D29" s="94"/>
      <c r="E29" s="94"/>
      <c r="F29" s="117"/>
      <c r="G29" s="117"/>
      <c r="H29" s="117"/>
      <c r="I29" s="117"/>
      <c r="J29" s="117"/>
      <c r="K29" s="117"/>
      <c r="L29" s="117"/>
    </row>
    <row r="30" spans="1:12">
      <c r="A30" s="94"/>
      <c r="B30" s="94"/>
      <c r="C30" s="94" t="s">
        <v>118</v>
      </c>
      <c r="D30" s="94"/>
      <c r="E30" s="94"/>
      <c r="F30" s="117">
        <v>0</v>
      </c>
      <c r="G30" s="117"/>
      <c r="H30" s="117"/>
      <c r="I30" s="117">
        <v>0</v>
      </c>
      <c r="J30" s="117"/>
      <c r="K30" s="117"/>
      <c r="L30" s="117">
        <v>0</v>
      </c>
    </row>
    <row r="31" spans="1:12">
      <c r="A31" s="94"/>
      <c r="B31" s="94"/>
      <c r="C31" s="94" t="s">
        <v>119</v>
      </c>
      <c r="D31" s="94"/>
      <c r="E31" s="94"/>
      <c r="F31" s="117">
        <v>0</v>
      </c>
      <c r="G31" s="117"/>
      <c r="H31" s="117"/>
      <c r="I31" s="117">
        <v>0</v>
      </c>
      <c r="J31" s="117"/>
      <c r="K31" s="117"/>
      <c r="L31" s="117">
        <v>0</v>
      </c>
    </row>
    <row r="32" spans="1:12">
      <c r="A32" s="94"/>
      <c r="B32" s="94"/>
      <c r="C32" s="94" t="s">
        <v>125</v>
      </c>
      <c r="D32" s="94"/>
      <c r="E32" s="94"/>
      <c r="F32" s="117">
        <v>0</v>
      </c>
      <c r="G32" s="117"/>
      <c r="H32" s="117"/>
      <c r="I32" s="117">
        <v>0</v>
      </c>
      <c r="J32" s="117"/>
      <c r="K32" s="117"/>
      <c r="L32" s="117">
        <v>0</v>
      </c>
    </row>
    <row r="33" spans="1:13">
      <c r="A33" s="94"/>
      <c r="B33" s="94"/>
      <c r="C33" s="94" t="s">
        <v>123</v>
      </c>
      <c r="D33" s="94"/>
      <c r="E33" s="94"/>
      <c r="F33" s="117">
        <v>0</v>
      </c>
      <c r="G33" s="117"/>
      <c r="H33" s="117"/>
      <c r="I33" s="117">
        <v>0</v>
      </c>
      <c r="J33" s="117"/>
      <c r="K33" s="117"/>
      <c r="L33" s="117">
        <v>0</v>
      </c>
    </row>
    <row r="34" spans="1:13">
      <c r="A34" s="94"/>
      <c r="B34" s="94" t="s">
        <v>128</v>
      </c>
      <c r="C34" s="94"/>
      <c r="D34" s="94"/>
      <c r="E34" s="94"/>
      <c r="F34" s="117">
        <v>0</v>
      </c>
      <c r="G34" s="117"/>
      <c r="H34" s="117"/>
      <c r="I34" s="117">
        <v>0</v>
      </c>
      <c r="J34" s="117"/>
      <c r="K34" s="117"/>
      <c r="L34" s="117">
        <v>0</v>
      </c>
    </row>
    <row r="35" spans="1:13">
      <c r="A35" s="94"/>
      <c r="B35" s="94" t="s">
        <v>227</v>
      </c>
      <c r="C35" s="94"/>
      <c r="D35" s="94"/>
      <c r="E35" s="94"/>
      <c r="F35" s="117"/>
      <c r="G35" s="117"/>
      <c r="H35" s="117"/>
      <c r="I35" s="117"/>
      <c r="J35" s="117"/>
      <c r="K35" s="117"/>
      <c r="L35" s="117"/>
    </row>
    <row r="36" spans="1:13">
      <c r="A36" s="94"/>
      <c r="B36" s="94"/>
      <c r="C36" s="94" t="s">
        <v>129</v>
      </c>
      <c r="D36" s="94"/>
      <c r="E36" s="94"/>
      <c r="F36" s="117"/>
      <c r="G36" s="117"/>
      <c r="H36" s="117"/>
      <c r="I36" s="117"/>
      <c r="J36" s="117"/>
      <c r="K36" s="117"/>
      <c r="L36" s="117"/>
    </row>
    <row r="37" spans="1:13">
      <c r="A37" s="94"/>
      <c r="B37" s="94"/>
      <c r="C37" s="94"/>
      <c r="D37" s="94" t="s">
        <v>130</v>
      </c>
      <c r="E37" s="94"/>
      <c r="F37" s="117">
        <v>854</v>
      </c>
      <c r="G37" s="119" t="s">
        <v>184</v>
      </c>
      <c r="H37" s="117"/>
      <c r="I37" s="117">
        <v>18300</v>
      </c>
      <c r="J37" s="117" t="s">
        <v>228</v>
      </c>
      <c r="K37" s="117"/>
      <c r="L37" s="117">
        <v>859</v>
      </c>
      <c r="M37" t="s">
        <v>229</v>
      </c>
    </row>
    <row r="38" spans="1:13">
      <c r="A38" s="94"/>
      <c r="B38" s="94"/>
      <c r="C38" s="94"/>
      <c r="D38" s="94" t="s">
        <v>133</v>
      </c>
      <c r="E38" s="94"/>
      <c r="F38" s="117">
        <v>911</v>
      </c>
      <c r="G38" s="117" t="s">
        <v>230</v>
      </c>
      <c r="H38" s="117"/>
      <c r="I38" s="117">
        <v>0</v>
      </c>
      <c r="J38" s="117"/>
      <c r="K38" s="117"/>
      <c r="L38" s="117">
        <v>519</v>
      </c>
      <c r="M38" t="s">
        <v>231</v>
      </c>
    </row>
    <row r="39" spans="1:13">
      <c r="A39" s="94"/>
      <c r="B39" s="94"/>
      <c r="C39" s="94"/>
      <c r="D39" s="94" t="s">
        <v>134</v>
      </c>
      <c r="E39" s="94"/>
      <c r="F39" s="117">
        <v>67</v>
      </c>
      <c r="G39" s="117"/>
      <c r="H39" s="117"/>
      <c r="I39" s="117">
        <v>0</v>
      </c>
      <c r="J39" s="117"/>
      <c r="K39" s="117"/>
      <c r="L39" s="117">
        <v>47</v>
      </c>
    </row>
    <row r="40" spans="1:13">
      <c r="A40" s="94"/>
      <c r="B40" s="94"/>
      <c r="C40" s="94"/>
      <c r="D40" s="94" t="s">
        <v>188</v>
      </c>
      <c r="E40" s="94"/>
      <c r="F40" s="117">
        <v>0</v>
      </c>
      <c r="G40" s="117"/>
      <c r="H40" s="117"/>
      <c r="I40" s="117">
        <v>36403</v>
      </c>
      <c r="J40" s="117" t="s">
        <v>232</v>
      </c>
      <c r="K40" s="117"/>
      <c r="L40" s="117">
        <v>22337</v>
      </c>
      <c r="M40" t="s">
        <v>233</v>
      </c>
    </row>
    <row r="41" spans="1:13">
      <c r="A41" s="94"/>
      <c r="B41" s="94"/>
      <c r="C41" s="94"/>
      <c r="D41" s="94" t="s">
        <v>201</v>
      </c>
      <c r="E41" s="94"/>
      <c r="F41" s="117">
        <v>0</v>
      </c>
      <c r="G41" s="117"/>
      <c r="H41" s="117"/>
      <c r="I41" s="117">
        <v>2056</v>
      </c>
      <c r="J41" s="117" t="s">
        <v>234</v>
      </c>
      <c r="K41" s="117"/>
      <c r="L41" s="117">
        <v>728</v>
      </c>
      <c r="M41" s="117" t="s">
        <v>235</v>
      </c>
    </row>
    <row r="42" spans="1:13">
      <c r="A42" s="94"/>
      <c r="B42" s="94"/>
      <c r="C42" s="94"/>
      <c r="D42" s="94" t="s">
        <v>186</v>
      </c>
      <c r="E42" s="94"/>
      <c r="F42" s="117">
        <v>0</v>
      </c>
      <c r="G42" s="117"/>
      <c r="H42" s="117"/>
      <c r="I42" s="117">
        <v>0</v>
      </c>
      <c r="J42" s="117"/>
      <c r="K42" s="117"/>
      <c r="L42" s="117">
        <v>130</v>
      </c>
    </row>
    <row r="43" spans="1:13">
      <c r="A43" s="94"/>
      <c r="B43" s="94"/>
      <c r="C43" s="94"/>
      <c r="D43" s="94" t="s">
        <v>209</v>
      </c>
      <c r="E43" s="94"/>
      <c r="F43" s="117">
        <v>65</v>
      </c>
      <c r="G43" s="117"/>
      <c r="H43" s="117"/>
      <c r="I43" s="117">
        <v>3911</v>
      </c>
      <c r="J43" s="117" t="s">
        <v>236</v>
      </c>
      <c r="K43" s="117"/>
      <c r="L43" s="117">
        <v>981</v>
      </c>
      <c r="M43" s="117" t="s">
        <v>237</v>
      </c>
    </row>
    <row r="44" spans="1:13">
      <c r="A44" s="94"/>
      <c r="B44" s="94"/>
      <c r="C44" s="94"/>
      <c r="D44" s="94" t="s">
        <v>205</v>
      </c>
      <c r="E44" s="94"/>
      <c r="F44" s="117">
        <v>0</v>
      </c>
      <c r="G44" s="117"/>
      <c r="H44" s="117"/>
      <c r="I44" s="117">
        <v>0</v>
      </c>
      <c r="J44" s="117"/>
      <c r="K44" s="117"/>
      <c r="L44" s="117">
        <v>0</v>
      </c>
    </row>
    <row r="45" spans="1:13">
      <c r="A45" s="94"/>
      <c r="B45" s="94"/>
      <c r="C45" s="94"/>
      <c r="D45" s="94" t="s">
        <v>191</v>
      </c>
      <c r="E45" s="94"/>
      <c r="F45" s="117">
        <v>0</v>
      </c>
      <c r="G45" s="117"/>
      <c r="H45" s="117"/>
      <c r="I45" s="117">
        <v>1764</v>
      </c>
      <c r="J45" s="117" t="s">
        <v>238</v>
      </c>
      <c r="K45" s="117"/>
      <c r="L45" s="117">
        <v>353</v>
      </c>
    </row>
    <row r="46" spans="1:13">
      <c r="A46" s="94"/>
      <c r="B46" s="94"/>
      <c r="C46" s="94"/>
      <c r="D46" s="94" t="s">
        <v>196</v>
      </c>
      <c r="E46" s="94"/>
      <c r="F46" s="117">
        <v>237</v>
      </c>
      <c r="G46" s="117"/>
      <c r="H46" s="117"/>
      <c r="I46" s="117">
        <v>4905</v>
      </c>
      <c r="J46" s="117" t="s">
        <v>239</v>
      </c>
      <c r="K46" s="117"/>
      <c r="L46" s="117">
        <v>30</v>
      </c>
    </row>
    <row r="47" spans="1:13">
      <c r="A47" s="94"/>
      <c r="B47" s="94"/>
      <c r="C47" s="94"/>
      <c r="D47" s="94" t="s">
        <v>194</v>
      </c>
      <c r="E47" s="94"/>
      <c r="F47" s="117">
        <v>59</v>
      </c>
      <c r="G47" s="117"/>
      <c r="H47" s="117"/>
      <c r="I47" s="117">
        <v>197</v>
      </c>
      <c r="J47" s="117"/>
      <c r="K47" s="117"/>
      <c r="L47" s="117">
        <v>310</v>
      </c>
    </row>
    <row r="48" spans="1:13">
      <c r="A48" s="94"/>
      <c r="B48" s="94"/>
      <c r="C48" s="94" t="s">
        <v>135</v>
      </c>
      <c r="D48" s="94"/>
      <c r="E48" s="94"/>
      <c r="F48" s="117">
        <v>2193</v>
      </c>
      <c r="G48" s="117"/>
      <c r="H48" s="117"/>
      <c r="I48" s="117">
        <v>67536</v>
      </c>
      <c r="J48" s="117"/>
      <c r="K48" s="117"/>
      <c r="L48" s="117">
        <v>26294</v>
      </c>
    </row>
    <row r="49" spans="1:13">
      <c r="A49" s="94"/>
      <c r="B49" s="94"/>
      <c r="C49" s="94" t="s">
        <v>147</v>
      </c>
      <c r="D49" s="94"/>
      <c r="E49" s="94"/>
      <c r="F49" s="117"/>
      <c r="G49" s="117"/>
      <c r="H49" s="117"/>
      <c r="I49" s="117"/>
      <c r="J49" s="117"/>
      <c r="K49" s="117"/>
      <c r="L49" s="117"/>
    </row>
    <row r="50" spans="1:13">
      <c r="A50" s="94"/>
      <c r="B50" s="94"/>
      <c r="C50" s="94"/>
      <c r="D50" s="94" t="s">
        <v>156</v>
      </c>
      <c r="E50" s="94"/>
      <c r="F50" s="117">
        <v>978</v>
      </c>
      <c r="G50" s="117" t="s">
        <v>240</v>
      </c>
      <c r="H50" s="117"/>
      <c r="I50" s="117">
        <v>272</v>
      </c>
      <c r="J50" s="117"/>
      <c r="K50" s="117"/>
      <c r="L50" s="117">
        <v>4512</v>
      </c>
      <c r="M50" t="s">
        <v>241</v>
      </c>
    </row>
    <row r="51" spans="1:13">
      <c r="A51" s="94"/>
      <c r="B51" s="94"/>
      <c r="C51" s="94"/>
      <c r="D51" s="94" t="s">
        <v>150</v>
      </c>
      <c r="E51" s="94"/>
      <c r="F51" s="117">
        <v>1709</v>
      </c>
      <c r="G51" s="117" t="s">
        <v>242</v>
      </c>
      <c r="H51" s="117"/>
      <c r="I51" s="117">
        <v>294</v>
      </c>
      <c r="J51" s="117"/>
      <c r="K51" s="117"/>
      <c r="L51" s="117">
        <v>136</v>
      </c>
    </row>
    <row r="52" spans="1:13">
      <c r="A52" s="94"/>
      <c r="B52" s="94"/>
      <c r="C52" s="94"/>
      <c r="D52" s="94" t="s">
        <v>159</v>
      </c>
      <c r="E52" s="94"/>
      <c r="F52" s="117">
        <v>54</v>
      </c>
      <c r="G52" s="117"/>
      <c r="H52" s="117"/>
      <c r="I52" s="117">
        <v>123</v>
      </c>
      <c r="J52" s="117"/>
      <c r="K52" s="117"/>
      <c r="L52" s="117">
        <v>21</v>
      </c>
    </row>
    <row r="53" spans="1:13">
      <c r="A53" s="94"/>
      <c r="B53" s="94"/>
      <c r="C53" s="94"/>
      <c r="D53" s="94" t="s">
        <v>152</v>
      </c>
      <c r="E53" s="94"/>
      <c r="F53" s="117">
        <v>77</v>
      </c>
      <c r="G53" s="117"/>
      <c r="H53" s="117"/>
      <c r="I53" s="117">
        <v>0</v>
      </c>
      <c r="J53" s="117"/>
      <c r="K53" s="117"/>
      <c r="L53" s="117">
        <v>93</v>
      </c>
    </row>
    <row r="54" spans="1:13">
      <c r="A54" s="94"/>
      <c r="B54" s="94"/>
      <c r="C54" s="94"/>
      <c r="D54" s="94" t="s">
        <v>154</v>
      </c>
      <c r="E54" s="94"/>
      <c r="F54" s="117">
        <v>0</v>
      </c>
      <c r="G54" s="117"/>
      <c r="H54" s="117"/>
      <c r="I54" s="117">
        <v>0</v>
      </c>
      <c r="J54" s="117"/>
      <c r="K54" s="117"/>
      <c r="L54" s="117">
        <v>134</v>
      </c>
    </row>
    <row r="55" spans="1:13">
      <c r="A55" s="94"/>
      <c r="B55" s="94"/>
      <c r="C55" s="94" t="s">
        <v>161</v>
      </c>
      <c r="D55" s="94"/>
      <c r="E55" s="94"/>
      <c r="F55" s="117">
        <v>2818</v>
      </c>
      <c r="G55" s="117"/>
      <c r="H55" s="117"/>
      <c r="I55" s="117">
        <v>689</v>
      </c>
      <c r="J55" s="117"/>
      <c r="K55" s="117"/>
      <c r="L55" s="117">
        <v>4896</v>
      </c>
    </row>
    <row r="56" spans="1:13">
      <c r="A56" s="94"/>
      <c r="B56" s="94"/>
      <c r="C56" s="94" t="s">
        <v>137</v>
      </c>
      <c r="D56" s="94"/>
      <c r="E56" s="94"/>
      <c r="F56" s="117"/>
      <c r="G56" s="117"/>
      <c r="H56" s="117"/>
      <c r="I56" s="117"/>
      <c r="J56" s="117"/>
      <c r="K56" s="117"/>
      <c r="L56" s="117"/>
    </row>
    <row r="57" spans="1:13">
      <c r="A57" s="94"/>
      <c r="B57" s="94"/>
      <c r="C57" s="94"/>
      <c r="D57" s="94" t="s">
        <v>138</v>
      </c>
      <c r="E57" s="94"/>
      <c r="F57" s="117">
        <v>0</v>
      </c>
      <c r="G57" s="117"/>
      <c r="H57" s="117"/>
      <c r="I57" s="117">
        <v>0</v>
      </c>
      <c r="J57" s="117"/>
      <c r="K57" s="117"/>
      <c r="L57" s="117">
        <v>189</v>
      </c>
    </row>
    <row r="58" spans="1:13">
      <c r="A58" s="94"/>
      <c r="B58" s="94"/>
      <c r="C58" s="94"/>
      <c r="D58" s="94" t="s">
        <v>141</v>
      </c>
      <c r="E58" s="94"/>
      <c r="F58" s="117">
        <v>0</v>
      </c>
      <c r="G58" s="117"/>
      <c r="H58" s="117"/>
      <c r="I58" s="117">
        <v>552</v>
      </c>
      <c r="J58" s="117" t="s">
        <v>243</v>
      </c>
      <c r="K58" s="117"/>
      <c r="L58" s="117">
        <v>424</v>
      </c>
    </row>
    <row r="59" spans="1:13">
      <c r="A59" s="94"/>
      <c r="B59" s="94"/>
      <c r="C59" s="94"/>
      <c r="D59" s="94" t="s">
        <v>144</v>
      </c>
      <c r="E59" s="94"/>
      <c r="F59" s="117">
        <v>0</v>
      </c>
      <c r="G59" s="117"/>
      <c r="H59" s="117"/>
      <c r="I59" s="117">
        <v>0</v>
      </c>
      <c r="J59" s="117"/>
      <c r="K59" s="117"/>
      <c r="L59" s="117">
        <v>458</v>
      </c>
    </row>
    <row r="60" spans="1:13">
      <c r="A60" s="94"/>
      <c r="B60" s="94"/>
      <c r="C60" s="94"/>
      <c r="D60" s="94" t="s">
        <v>143</v>
      </c>
      <c r="E60" s="94"/>
      <c r="F60" s="117">
        <v>20</v>
      </c>
      <c r="G60" s="117"/>
      <c r="H60" s="117"/>
      <c r="I60" s="117">
        <v>0</v>
      </c>
      <c r="J60" s="117"/>
      <c r="K60" s="117"/>
      <c r="L60" s="117">
        <v>0</v>
      </c>
    </row>
    <row r="61" spans="1:13">
      <c r="A61" s="94"/>
      <c r="B61" s="94"/>
      <c r="C61" s="94" t="s">
        <v>146</v>
      </c>
      <c r="D61" s="94"/>
      <c r="E61" s="94"/>
      <c r="F61" s="117">
        <v>20</v>
      </c>
      <c r="G61" s="117"/>
      <c r="H61" s="117"/>
      <c r="I61" s="117">
        <v>552</v>
      </c>
      <c r="J61" s="117"/>
      <c r="K61" s="117"/>
      <c r="L61" s="117">
        <v>1071</v>
      </c>
    </row>
    <row r="62" spans="1:13">
      <c r="A62" s="94"/>
      <c r="B62" s="94"/>
      <c r="C62" s="94" t="s">
        <v>172</v>
      </c>
      <c r="D62" s="94"/>
      <c r="E62" s="94"/>
      <c r="F62" s="117"/>
      <c r="G62" s="117"/>
      <c r="H62" s="117"/>
      <c r="I62" s="117"/>
      <c r="J62" s="117"/>
      <c r="K62" s="117"/>
      <c r="L62" s="117"/>
    </row>
    <row r="63" spans="1:13">
      <c r="A63" s="94"/>
      <c r="B63" s="94"/>
      <c r="C63" s="94"/>
      <c r="D63" s="94" t="s">
        <v>175</v>
      </c>
      <c r="E63" s="94"/>
      <c r="F63" s="117">
        <v>0</v>
      </c>
      <c r="G63" s="117"/>
      <c r="H63" s="117"/>
      <c r="I63" s="117">
        <v>4500</v>
      </c>
      <c r="J63" s="117" t="s">
        <v>244</v>
      </c>
      <c r="K63" s="117"/>
      <c r="L63" s="117">
        <v>0</v>
      </c>
    </row>
    <row r="64" spans="1:13">
      <c r="A64" s="94"/>
      <c r="B64" s="94"/>
      <c r="C64" s="94"/>
      <c r="D64" s="94" t="s">
        <v>173</v>
      </c>
      <c r="E64" s="94"/>
      <c r="F64" s="117">
        <v>0</v>
      </c>
      <c r="G64" s="117"/>
      <c r="H64" s="117"/>
      <c r="I64" s="117">
        <v>0</v>
      </c>
      <c r="J64" s="117"/>
      <c r="K64" s="117"/>
      <c r="L64" s="117">
        <v>0</v>
      </c>
    </row>
    <row r="65" spans="1:13">
      <c r="A65" s="94"/>
      <c r="B65" s="94"/>
      <c r="C65" s="94"/>
      <c r="D65" s="94" t="s">
        <v>179</v>
      </c>
      <c r="E65" s="94"/>
      <c r="F65" s="117">
        <v>0</v>
      </c>
      <c r="G65" s="117"/>
      <c r="H65" s="117"/>
      <c r="I65" s="117">
        <v>122</v>
      </c>
      <c r="J65" s="117"/>
      <c r="K65" s="117"/>
      <c r="L65" s="117">
        <v>415</v>
      </c>
    </row>
    <row r="66" spans="1:13">
      <c r="A66" s="94"/>
      <c r="B66" s="94"/>
      <c r="C66" s="94" t="s">
        <v>182</v>
      </c>
      <c r="D66" s="94"/>
      <c r="E66" s="94"/>
      <c r="F66" s="117">
        <v>0</v>
      </c>
      <c r="G66" s="117"/>
      <c r="H66" s="117"/>
      <c r="I66" s="117">
        <v>4622</v>
      </c>
      <c r="J66" s="117"/>
      <c r="K66" s="117"/>
      <c r="L66" s="117">
        <v>415</v>
      </c>
    </row>
    <row r="67" spans="1:13">
      <c r="A67" s="94"/>
      <c r="B67" s="94"/>
      <c r="C67" s="94" t="s">
        <v>162</v>
      </c>
      <c r="D67" s="94"/>
      <c r="E67" s="94"/>
      <c r="F67" s="117"/>
      <c r="G67" s="117"/>
      <c r="H67" s="117"/>
      <c r="I67" s="117"/>
      <c r="J67" s="117"/>
      <c r="K67" s="117"/>
      <c r="L67" s="117"/>
    </row>
    <row r="68" spans="1:13">
      <c r="A68" s="94"/>
      <c r="B68" s="94"/>
      <c r="C68" s="94"/>
      <c r="D68" s="94" t="s">
        <v>163</v>
      </c>
      <c r="E68" s="94"/>
      <c r="F68" s="117">
        <v>2647</v>
      </c>
      <c r="G68" s="117" t="s">
        <v>245</v>
      </c>
      <c r="H68" s="117"/>
      <c r="I68" s="117">
        <v>9343</v>
      </c>
      <c r="J68" s="117" t="s">
        <v>246</v>
      </c>
      <c r="K68" s="117"/>
      <c r="L68" s="117">
        <v>0</v>
      </c>
    </row>
    <row r="69" spans="1:13">
      <c r="A69" s="94"/>
      <c r="B69" s="94"/>
      <c r="C69" s="94"/>
      <c r="D69" s="94" t="s">
        <v>167</v>
      </c>
      <c r="E69" s="94"/>
      <c r="F69" s="117">
        <v>0</v>
      </c>
      <c r="G69" s="117"/>
      <c r="H69" s="117"/>
      <c r="I69" s="117">
        <v>32</v>
      </c>
      <c r="J69" s="117"/>
      <c r="K69" s="117"/>
      <c r="L69" s="117">
        <v>750</v>
      </c>
      <c r="M69" t="s">
        <v>247</v>
      </c>
    </row>
    <row r="70" spans="1:13">
      <c r="A70" s="94"/>
      <c r="B70" s="94"/>
      <c r="C70" s="94"/>
      <c r="D70" s="94" t="s">
        <v>169</v>
      </c>
      <c r="E70" s="94"/>
      <c r="F70" s="117">
        <v>0</v>
      </c>
      <c r="G70" s="117"/>
      <c r="H70" s="117"/>
      <c r="I70" s="117">
        <v>0</v>
      </c>
      <c r="J70" s="117"/>
      <c r="K70" s="117"/>
      <c r="L70" s="117">
        <v>196</v>
      </c>
    </row>
    <row r="71" spans="1:13">
      <c r="A71" s="94"/>
      <c r="B71" s="94"/>
      <c r="C71" s="94" t="s">
        <v>171</v>
      </c>
      <c r="D71" s="94"/>
      <c r="E71" s="94"/>
      <c r="F71" s="117">
        <v>2647</v>
      </c>
      <c r="G71" s="117"/>
      <c r="H71" s="117"/>
      <c r="I71" s="117">
        <v>9375</v>
      </c>
      <c r="J71" s="117"/>
      <c r="K71" s="117"/>
      <c r="L71" s="117">
        <v>946</v>
      </c>
    </row>
    <row r="72" spans="1:13">
      <c r="A72" s="94"/>
      <c r="B72" s="94"/>
      <c r="C72" s="94" t="s">
        <v>212</v>
      </c>
      <c r="D72" s="94"/>
      <c r="E72" s="94"/>
      <c r="F72" s="117">
        <v>0</v>
      </c>
      <c r="G72" s="117"/>
      <c r="H72" s="117"/>
      <c r="I72" s="117">
        <v>116</v>
      </c>
      <c r="J72" s="117"/>
      <c r="K72" s="117"/>
      <c r="L72" s="117">
        <v>0</v>
      </c>
    </row>
    <row r="73" spans="1:13">
      <c r="A73" s="94"/>
      <c r="B73" s="94" t="s">
        <v>213</v>
      </c>
      <c r="C73" s="94"/>
      <c r="D73" s="94"/>
      <c r="E73" s="94"/>
      <c r="F73" s="117">
        <v>7678</v>
      </c>
      <c r="G73" s="117"/>
      <c r="H73" s="117"/>
      <c r="I73" s="117">
        <v>82890</v>
      </c>
      <c r="J73" s="117"/>
      <c r="K73" s="117"/>
      <c r="L73" s="117">
        <v>33622</v>
      </c>
    </row>
    <row r="74" spans="1:13">
      <c r="A74" s="94"/>
      <c r="B74" s="94" t="s">
        <v>79</v>
      </c>
      <c r="C74" s="94"/>
      <c r="D74" s="94"/>
      <c r="E74" s="94"/>
      <c r="F74" s="117"/>
      <c r="G74" s="117"/>
      <c r="H74" s="117"/>
      <c r="I74" s="117"/>
      <c r="J74" s="117"/>
      <c r="K74" s="117"/>
      <c r="L74" s="117"/>
    </row>
    <row r="75" spans="1:13">
      <c r="A75" s="94"/>
      <c r="B75" s="94"/>
      <c r="C75" s="94" t="s">
        <v>129</v>
      </c>
      <c r="D75" s="94"/>
      <c r="E75" s="94"/>
      <c r="F75" s="117"/>
      <c r="G75" s="117"/>
      <c r="H75" s="117"/>
      <c r="I75" s="117"/>
      <c r="J75" s="117"/>
      <c r="K75" s="117"/>
      <c r="L75" s="117"/>
    </row>
    <row r="76" spans="1:13">
      <c r="A76" s="94"/>
      <c r="B76" s="94"/>
      <c r="C76" s="94"/>
      <c r="D76" s="94" t="s">
        <v>130</v>
      </c>
      <c r="E76" s="94"/>
      <c r="F76" s="117">
        <v>0</v>
      </c>
      <c r="G76" s="117"/>
      <c r="H76" s="117"/>
      <c r="I76" s="117">
        <v>0</v>
      </c>
      <c r="J76" s="117"/>
      <c r="K76" s="117"/>
      <c r="L76" s="117">
        <v>67</v>
      </c>
    </row>
    <row r="77" spans="1:13">
      <c r="A77" s="94"/>
      <c r="B77" s="94"/>
      <c r="C77" s="94"/>
      <c r="D77" s="94" t="s">
        <v>133</v>
      </c>
      <c r="E77" s="94"/>
      <c r="F77" s="117">
        <v>228</v>
      </c>
      <c r="G77" s="117"/>
      <c r="H77" s="117"/>
      <c r="I77" s="117">
        <v>0</v>
      </c>
      <c r="J77" s="117"/>
      <c r="K77" s="117"/>
      <c r="L77" s="117">
        <v>0</v>
      </c>
    </row>
    <row r="78" spans="1:13">
      <c r="A78" s="94"/>
      <c r="B78" s="94"/>
      <c r="C78" s="94" t="s">
        <v>135</v>
      </c>
      <c r="D78" s="94"/>
      <c r="E78" s="94"/>
      <c r="F78" s="117">
        <v>228</v>
      </c>
      <c r="G78" s="117"/>
      <c r="H78" s="117"/>
      <c r="I78" s="117">
        <v>0</v>
      </c>
      <c r="J78" s="117"/>
      <c r="K78" s="117"/>
      <c r="L78" s="117">
        <v>67</v>
      </c>
    </row>
    <row r="79" spans="1:13">
      <c r="A79" s="94"/>
      <c r="B79" s="94" t="s">
        <v>136</v>
      </c>
      <c r="C79" s="94"/>
      <c r="D79" s="94"/>
      <c r="E79" s="94"/>
      <c r="F79" s="117">
        <v>228</v>
      </c>
      <c r="G79" s="117"/>
      <c r="H79" s="117"/>
      <c r="I79" s="117">
        <v>0</v>
      </c>
      <c r="J79" s="117"/>
      <c r="K79" s="117"/>
      <c r="L79" s="117">
        <v>67</v>
      </c>
    </row>
    <row r="80" spans="1:13">
      <c r="A80" s="94" t="s">
        <v>214</v>
      </c>
      <c r="B80" s="94"/>
      <c r="C80" s="94"/>
      <c r="D80" s="94"/>
      <c r="E80" s="94"/>
      <c r="F80" s="117">
        <v>7906</v>
      </c>
      <c r="G80" s="117"/>
      <c r="H80" s="117"/>
      <c r="I80" s="117">
        <v>83229</v>
      </c>
      <c r="J80" s="117"/>
      <c r="K80" s="117"/>
      <c r="L80" s="117">
        <v>33698</v>
      </c>
    </row>
    <row r="81" spans="1:12">
      <c r="A81" s="94"/>
      <c r="B81" s="94"/>
      <c r="C81" s="94"/>
      <c r="D81" s="94"/>
      <c r="E81" s="94"/>
      <c r="F81" s="117"/>
      <c r="G81" s="117"/>
      <c r="H81" s="117"/>
      <c r="J81" s="117"/>
      <c r="K81" s="117"/>
      <c r="L81" s="117">
        <f>SUM(F80+I80+L80)</f>
        <v>124833</v>
      </c>
    </row>
    <row r="82" spans="1:12">
      <c r="A82" s="94"/>
      <c r="B82" s="94"/>
      <c r="C82" s="94"/>
      <c r="D82" s="94"/>
      <c r="E82" s="94"/>
      <c r="F82" s="117"/>
      <c r="G82" s="117"/>
      <c r="H82" s="117"/>
      <c r="I82" s="117"/>
      <c r="J82" s="117"/>
      <c r="K82" s="117"/>
      <c r="L82" s="117"/>
    </row>
    <row r="83" spans="1:12">
      <c r="H83" t="s">
        <v>222</v>
      </c>
      <c r="I83" s="117">
        <f>F80+I80</f>
        <v>91135</v>
      </c>
    </row>
    <row r="84" spans="1:12">
      <c r="B84" s="135"/>
      <c r="C84" s="135"/>
      <c r="D84" s="135"/>
      <c r="E84" s="135"/>
      <c r="F84" s="135"/>
      <c r="G84" s="135"/>
      <c r="H84" s="135"/>
      <c r="I84" s="135"/>
      <c r="J84" s="135"/>
    </row>
    <row r="85" spans="1:12">
      <c r="B85" s="155" t="s">
        <v>248</v>
      </c>
      <c r="C85" s="135"/>
      <c r="D85" s="135"/>
      <c r="E85" s="135"/>
      <c r="F85" s="135"/>
      <c r="G85" s="135"/>
      <c r="H85" s="135"/>
      <c r="I85" s="135"/>
      <c r="J85" s="135"/>
    </row>
    <row r="86" spans="1:12">
      <c r="B86" s="135"/>
      <c r="C86" s="135"/>
      <c r="D86" s="135"/>
      <c r="E86" s="135"/>
      <c r="F86" s="135"/>
      <c r="G86" s="135"/>
      <c r="H86" s="135"/>
      <c r="I86" s="135"/>
      <c r="J86" s="135"/>
    </row>
    <row r="87" spans="1:12">
      <c r="B87" s="147" t="s">
        <v>216</v>
      </c>
      <c r="C87" s="156">
        <v>7632</v>
      </c>
      <c r="D87" s="135"/>
      <c r="E87" s="135"/>
      <c r="F87" s="135"/>
      <c r="G87" s="135"/>
      <c r="H87" s="135"/>
      <c r="I87" s="135"/>
      <c r="J87" s="135"/>
    </row>
    <row r="88" spans="1:12">
      <c r="B88" s="147" t="s">
        <v>218</v>
      </c>
      <c r="C88" s="157">
        <v>850</v>
      </c>
      <c r="D88" s="135"/>
      <c r="E88" s="135"/>
      <c r="F88" s="135"/>
      <c r="G88" s="135"/>
      <c r="H88" s="135"/>
      <c r="I88" s="135"/>
      <c r="J88" s="135"/>
    </row>
    <row r="89" spans="1:12">
      <c r="B89" s="147" t="s">
        <v>219</v>
      </c>
      <c r="C89" s="156">
        <v>3484</v>
      </c>
      <c r="D89" s="135"/>
      <c r="E89" s="135"/>
      <c r="F89" s="135"/>
      <c r="G89" s="135"/>
      <c r="H89" s="135"/>
      <c r="I89" s="135"/>
      <c r="J89" s="135"/>
    </row>
    <row r="90" spans="1:12">
      <c r="B90" s="147" t="s">
        <v>220</v>
      </c>
      <c r="C90" s="156">
        <v>20000</v>
      </c>
      <c r="D90" s="135"/>
      <c r="E90" s="135"/>
      <c r="F90" s="135"/>
      <c r="G90" s="135"/>
      <c r="H90" s="135"/>
      <c r="I90" s="135"/>
      <c r="J90" s="135"/>
    </row>
    <row r="91" spans="1:12">
      <c r="B91" s="147" t="s">
        <v>221</v>
      </c>
      <c r="C91" s="148">
        <v>31966</v>
      </c>
      <c r="D91" s="135"/>
      <c r="E91" s="135"/>
      <c r="F91" s="135"/>
      <c r="G91" s="135"/>
      <c r="H91" s="135"/>
      <c r="I91" s="135"/>
      <c r="J91" s="135"/>
    </row>
    <row r="92" spans="1:12">
      <c r="B92" s="135"/>
      <c r="C92" s="135"/>
      <c r="D92" s="135"/>
      <c r="E92" s="135"/>
      <c r="F92" s="135"/>
      <c r="G92" s="135"/>
      <c r="H92" s="135"/>
      <c r="I92" s="135"/>
      <c r="J92" s="135"/>
    </row>
  </sheetData>
  <pageMargins left="0.75" right="0.75" top="1" bottom="1" header="0.5" footer="0.5"/>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workbookViewId="0">
      <selection activeCell="B9" sqref="B9"/>
    </sheetView>
  </sheetViews>
  <sheetFormatPr baseColWidth="10" defaultRowHeight="15" x14ac:dyDescent="0"/>
  <cols>
    <col min="1" max="1" width="43.83203125" style="135" customWidth="1"/>
    <col min="2" max="2" width="12.83203125" style="135" bestFit="1" customWidth="1"/>
    <col min="3" max="16384" width="10.83203125" style="135"/>
  </cols>
  <sheetData>
    <row r="1" spans="1:3" ht="16">
      <c r="A1" s="204" t="s">
        <v>304</v>
      </c>
    </row>
    <row r="2" spans="1:3">
      <c r="A2" s="138" t="s">
        <v>301</v>
      </c>
    </row>
    <row r="3" spans="1:3">
      <c r="A3" s="138" t="s">
        <v>14</v>
      </c>
      <c r="B3" s="138"/>
      <c r="C3" s="138"/>
    </row>
    <row r="4" spans="1:3">
      <c r="A4" s="138"/>
      <c r="B4" s="138"/>
      <c r="C4" s="138"/>
    </row>
    <row r="5" spans="1:3">
      <c r="A5" s="203" t="s">
        <v>22</v>
      </c>
      <c r="B5" s="203" t="s">
        <v>21</v>
      </c>
      <c r="C5" s="203" t="s">
        <v>20</v>
      </c>
    </row>
    <row r="6" spans="1:3">
      <c r="A6" s="138" t="s">
        <v>15</v>
      </c>
      <c r="B6" s="202">
        <v>2900000</v>
      </c>
      <c r="C6" s="138" t="s">
        <v>305</v>
      </c>
    </row>
    <row r="7" spans="1:3">
      <c r="A7" s="138" t="s">
        <v>16</v>
      </c>
      <c r="B7" s="202">
        <v>9600000</v>
      </c>
      <c r="C7" s="138" t="s">
        <v>306</v>
      </c>
    </row>
    <row r="8" spans="1:3">
      <c r="A8" s="138" t="s">
        <v>17</v>
      </c>
      <c r="B8" s="202">
        <v>1400000</v>
      </c>
      <c r="C8" s="138"/>
    </row>
    <row r="9" spans="1:3">
      <c r="A9" s="138" t="s">
        <v>18</v>
      </c>
      <c r="B9" s="202">
        <v>1800000</v>
      </c>
      <c r="C9" s="138"/>
    </row>
    <row r="10" spans="1:3">
      <c r="A10" s="138" t="s">
        <v>19</v>
      </c>
      <c r="B10" s="202">
        <v>1800000</v>
      </c>
      <c r="C10" s="138" t="s">
        <v>274</v>
      </c>
    </row>
    <row r="11" spans="1:3">
      <c r="A11" s="203" t="s">
        <v>23</v>
      </c>
      <c r="B11" s="202">
        <f>SUM(B6:B10)</f>
        <v>17500000</v>
      </c>
      <c r="C11" s="138"/>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
  <sheetViews>
    <sheetView topLeftCell="A12" workbookViewId="0">
      <selection activeCell="D26" sqref="D26"/>
    </sheetView>
  </sheetViews>
  <sheetFormatPr baseColWidth="10" defaultRowHeight="15" x14ac:dyDescent="0"/>
  <sheetData>
    <row r="1" spans="1:8">
      <c r="A1" t="s">
        <v>303</v>
      </c>
    </row>
    <row r="2" spans="1:8">
      <c r="A2" t="s">
        <v>299</v>
      </c>
    </row>
    <row r="3" spans="1:8">
      <c r="A3" s="201" t="s">
        <v>64</v>
      </c>
    </row>
    <row r="5" spans="1:8" s="24" customFormat="1" ht="18">
      <c r="A5" s="23" t="s">
        <v>63</v>
      </c>
    </row>
    <row r="7" spans="1:8">
      <c r="A7" s="1" t="s">
        <v>24</v>
      </c>
      <c r="B7" s="1"/>
      <c r="C7" s="1"/>
      <c r="D7" s="1"/>
      <c r="E7" s="1"/>
      <c r="F7" s="1"/>
      <c r="G7" s="1"/>
      <c r="H7" s="1"/>
    </row>
    <row r="8" spans="1:8">
      <c r="A8" s="2" t="s">
        <v>25</v>
      </c>
      <c r="B8" s="1"/>
      <c r="C8" s="1"/>
      <c r="D8" s="1"/>
      <c r="E8" s="1"/>
      <c r="F8" s="1"/>
      <c r="G8" s="1"/>
      <c r="H8" s="1"/>
    </row>
    <row r="9" spans="1:8" ht="56">
      <c r="A9" s="1" t="s">
        <v>26</v>
      </c>
      <c r="B9" s="1"/>
      <c r="C9" s="3" t="s">
        <v>27</v>
      </c>
      <c r="D9" s="3" t="s">
        <v>28</v>
      </c>
      <c r="E9" s="3" t="s">
        <v>29</v>
      </c>
      <c r="F9" s="3"/>
      <c r="G9" s="4" t="s">
        <v>30</v>
      </c>
      <c r="H9" s="5">
        <v>0.1</v>
      </c>
    </row>
    <row r="10" spans="1:8">
      <c r="A10" s="3"/>
      <c r="B10" s="6" t="s">
        <v>31</v>
      </c>
      <c r="C10" s="6">
        <v>1.7</v>
      </c>
      <c r="D10" s="3">
        <f>(C10/$H$10)+(C10*$H$9)</f>
        <v>2.0588888888888888</v>
      </c>
      <c r="E10" s="3">
        <f>C10/$H$11</f>
        <v>2</v>
      </c>
      <c r="F10" s="3"/>
      <c r="G10" s="3" t="s">
        <v>32</v>
      </c>
      <c r="H10" s="7">
        <v>0.9</v>
      </c>
    </row>
    <row r="11" spans="1:8">
      <c r="A11" s="1"/>
      <c r="B11" s="6" t="s">
        <v>33</v>
      </c>
      <c r="C11" s="6">
        <f>1.3</f>
        <v>1.3</v>
      </c>
      <c r="D11" s="3">
        <f>(C11/$H$10)+(C11*$H$9)</f>
        <v>1.5744444444444445</v>
      </c>
      <c r="E11" s="3">
        <f>C11/$H$11</f>
        <v>1.5294117647058825</v>
      </c>
      <c r="F11" s="1"/>
      <c r="G11" s="1" t="s">
        <v>34</v>
      </c>
      <c r="H11" s="7">
        <v>0.85</v>
      </c>
    </row>
    <row r="12" spans="1:8">
      <c r="A12" s="1"/>
      <c r="B12" s="6" t="s">
        <v>35</v>
      </c>
      <c r="C12" s="6">
        <v>0.9</v>
      </c>
      <c r="D12" s="3">
        <f>(C12/$H$10)+(C12*$H$9)</f>
        <v>1.0900000000000001</v>
      </c>
      <c r="E12" s="3">
        <f>C12/$H$11</f>
        <v>1.0588235294117647</v>
      </c>
      <c r="F12" s="1"/>
      <c r="G12" s="1"/>
      <c r="H12" s="7"/>
    </row>
    <row r="13" spans="1:8">
      <c r="A13" s="1"/>
      <c r="B13" s="6"/>
      <c r="C13" s="6"/>
      <c r="D13" s="3"/>
      <c r="E13" s="3"/>
      <c r="F13" s="1"/>
      <c r="G13" s="1"/>
      <c r="H13" s="7" t="s">
        <v>36</v>
      </c>
    </row>
    <row r="14" spans="1:8">
      <c r="A14" s="1" t="s">
        <v>37</v>
      </c>
      <c r="B14" s="6"/>
      <c r="C14" s="6" t="s">
        <v>38</v>
      </c>
      <c r="D14" s="3" t="s">
        <v>39</v>
      </c>
      <c r="E14" s="1"/>
      <c r="F14" s="1"/>
      <c r="G14" s="1"/>
      <c r="H14" s="7"/>
    </row>
    <row r="15" spans="1:8">
      <c r="A15" s="1"/>
      <c r="B15" s="6" t="s">
        <v>40</v>
      </c>
      <c r="C15" s="6">
        <v>2</v>
      </c>
      <c r="D15" s="3">
        <f>C15/$H$11</f>
        <v>2.3529411764705883</v>
      </c>
      <c r="E15" s="3"/>
      <c r="F15" s="1"/>
      <c r="G15" s="6" t="s">
        <v>41</v>
      </c>
      <c r="H15" s="6">
        <v>2</v>
      </c>
    </row>
    <row r="16" spans="1:8">
      <c r="A16" s="1"/>
      <c r="B16" s="6" t="s">
        <v>42</v>
      </c>
      <c r="C16" s="6">
        <v>6</v>
      </c>
      <c r="D16" s="1"/>
      <c r="E16" s="3"/>
      <c r="F16" s="1"/>
      <c r="G16" s="6" t="s">
        <v>43</v>
      </c>
      <c r="H16" s="6">
        <v>1</v>
      </c>
    </row>
    <row r="17" spans="1:8">
      <c r="A17" s="1"/>
      <c r="B17" s="1"/>
      <c r="C17" s="1"/>
      <c r="D17" s="1"/>
      <c r="E17" s="3"/>
      <c r="F17" s="1"/>
      <c r="G17" s="1"/>
      <c r="H17" s="1"/>
    </row>
    <row r="18" spans="1:8">
      <c r="A18" s="1"/>
      <c r="B18" s="6" t="s">
        <v>44</v>
      </c>
      <c r="C18" s="5">
        <v>1.25</v>
      </c>
      <c r="D18" s="1"/>
      <c r="E18" s="1"/>
      <c r="F18" s="1"/>
      <c r="G18" s="1"/>
      <c r="H18" s="1"/>
    </row>
    <row r="19" spans="1:8">
      <c r="A19" s="1"/>
      <c r="B19" s="1" t="s">
        <v>45</v>
      </c>
      <c r="C19" s="6"/>
      <c r="D19" s="1"/>
      <c r="E19" s="1"/>
      <c r="F19" s="1"/>
      <c r="G19" s="1"/>
      <c r="H19" s="1"/>
    </row>
    <row r="20" spans="1:8">
      <c r="A20" s="1"/>
      <c r="B20" s="1"/>
      <c r="C20" s="1"/>
      <c r="D20" s="1"/>
      <c r="E20" s="1"/>
      <c r="F20" s="1"/>
      <c r="G20" s="1"/>
      <c r="H20" s="1"/>
    </row>
    <row r="21" spans="1:8">
      <c r="A21" s="1"/>
      <c r="B21" s="1"/>
      <c r="C21" s="366" t="s">
        <v>46</v>
      </c>
      <c r="D21" s="366"/>
      <c r="E21" s="366"/>
      <c r="F21" s="366"/>
      <c r="G21" s="366"/>
      <c r="H21" s="366"/>
    </row>
    <row r="22" spans="1:8">
      <c r="A22" s="8"/>
      <c r="B22" s="8"/>
      <c r="C22" s="367" t="s">
        <v>47</v>
      </c>
      <c r="D22" s="368"/>
      <c r="E22" s="367" t="s">
        <v>48</v>
      </c>
      <c r="F22" s="368"/>
      <c r="G22" s="369" t="s">
        <v>49</v>
      </c>
      <c r="H22" s="369"/>
    </row>
    <row r="23" spans="1:8">
      <c r="A23" s="1"/>
      <c r="B23" s="1"/>
      <c r="C23" s="9" t="s">
        <v>50</v>
      </c>
      <c r="D23" s="10" t="s">
        <v>51</v>
      </c>
      <c r="E23" s="9" t="s">
        <v>50</v>
      </c>
      <c r="F23" s="10" t="s">
        <v>51</v>
      </c>
      <c r="G23" s="9" t="s">
        <v>50</v>
      </c>
      <c r="H23" s="10" t="s">
        <v>51</v>
      </c>
    </row>
    <row r="24" spans="1:8">
      <c r="A24" s="1"/>
      <c r="B24" s="11" t="s">
        <v>52</v>
      </c>
      <c r="C24" s="12">
        <v>7</v>
      </c>
      <c r="D24" s="13">
        <f>C24/D11</f>
        <v>4.4460127028934364</v>
      </c>
      <c r="E24" s="12">
        <f>F24*$D$11</f>
        <v>28.340000000000003</v>
      </c>
      <c r="F24" s="13">
        <f>F29-SUM(F25:F28)</f>
        <v>18</v>
      </c>
      <c r="G24" s="12">
        <f>H24*$D$10</f>
        <v>37.059999999999995</v>
      </c>
      <c r="H24" s="13">
        <f>H29-SUM(H25:H28)</f>
        <v>18</v>
      </c>
    </row>
    <row r="25" spans="1:8">
      <c r="A25" s="1"/>
      <c r="B25" s="11" t="s">
        <v>53</v>
      </c>
      <c r="C25" s="12"/>
      <c r="D25" s="13"/>
      <c r="E25" s="12"/>
      <c r="F25" s="13"/>
      <c r="G25" s="12"/>
      <c r="H25" s="13"/>
    </row>
    <row r="26" spans="1:8">
      <c r="A26" s="1"/>
      <c r="B26" s="11" t="s">
        <v>54</v>
      </c>
      <c r="C26" s="12">
        <f>$D$15</f>
        <v>2.3529411764705883</v>
      </c>
      <c r="D26" s="13">
        <f>$C$16</f>
        <v>6</v>
      </c>
      <c r="E26" s="12">
        <f>$D$15</f>
        <v>2.3529411764705883</v>
      </c>
      <c r="F26" s="13">
        <f>$C$16</f>
        <v>6</v>
      </c>
      <c r="G26" s="12">
        <f>$D$15</f>
        <v>2.3529411764705883</v>
      </c>
      <c r="H26" s="13">
        <f>$C$16</f>
        <v>6</v>
      </c>
    </row>
    <row r="27" spans="1:8">
      <c r="A27" s="1"/>
      <c r="B27" s="11" t="s">
        <v>55</v>
      </c>
      <c r="C27" s="12">
        <f>D27*$E$11</f>
        <v>13.082568807339451</v>
      </c>
      <c r="D27" s="13">
        <f>D29-SUM(D24:D26,D28)</f>
        <v>8.5539872971065627</v>
      </c>
      <c r="E27" s="12"/>
      <c r="F27" s="13"/>
      <c r="G27" s="12"/>
      <c r="H27" s="13"/>
    </row>
    <row r="28" spans="1:8">
      <c r="A28" s="1"/>
      <c r="B28" s="11" t="s">
        <v>56</v>
      </c>
      <c r="C28" s="14"/>
      <c r="D28" s="15">
        <f>H15*2+H16</f>
        <v>5</v>
      </c>
      <c r="E28" s="14"/>
      <c r="F28" s="16">
        <f>F16</f>
        <v>0</v>
      </c>
      <c r="G28" s="17"/>
      <c r="H28" s="16">
        <f>F16</f>
        <v>0</v>
      </c>
    </row>
    <row r="29" spans="1:8">
      <c r="A29" s="1"/>
      <c r="B29" s="18" t="s">
        <v>57</v>
      </c>
      <c r="C29" s="19">
        <f>SUM(C24:C28)</f>
        <v>22.435509983810039</v>
      </c>
      <c r="D29" s="6">
        <v>24</v>
      </c>
      <c r="E29" s="19">
        <f>SUM(E24:E28)</f>
        <v>30.69294117647059</v>
      </c>
      <c r="F29" s="6">
        <v>24</v>
      </c>
      <c r="G29" s="19">
        <f>SUM(G24:G28)</f>
        <v>39.412941176470582</v>
      </c>
      <c r="H29" s="6">
        <v>24</v>
      </c>
    </row>
    <row r="30" spans="1:8" ht="16" thickBot="1">
      <c r="A30" s="1"/>
      <c r="B30" s="20" t="s">
        <v>58</v>
      </c>
      <c r="C30" s="21">
        <f>C29*($C$18+1)</f>
        <v>50.479897463572591</v>
      </c>
      <c r="D30" s="21"/>
      <c r="E30" s="21">
        <f>E29*($C$18+1)</f>
        <v>69.059117647058827</v>
      </c>
      <c r="F30" s="21"/>
      <c r="G30" s="21">
        <f>G29*($C$18+1)</f>
        <v>88.679117647058803</v>
      </c>
      <c r="H30" s="22"/>
    </row>
    <row r="31" spans="1:8" ht="16" thickTop="1">
      <c r="A31" s="1"/>
      <c r="B31" s="1"/>
      <c r="C31" s="1"/>
      <c r="D31" s="1"/>
      <c r="E31" s="1"/>
      <c r="F31" s="1"/>
      <c r="G31" s="1"/>
      <c r="H31" s="1"/>
    </row>
    <row r="32" spans="1:8">
      <c r="A32" s="1"/>
      <c r="B32" s="370" t="s">
        <v>59</v>
      </c>
      <c r="C32" s="373" t="s">
        <v>60</v>
      </c>
      <c r="D32" s="373"/>
      <c r="E32" s="373" t="s">
        <v>61</v>
      </c>
      <c r="F32" s="373"/>
      <c r="G32" s="373" t="s">
        <v>62</v>
      </c>
      <c r="H32" s="373"/>
    </row>
    <row r="33" spans="1:8">
      <c r="A33" s="1"/>
      <c r="B33" s="371"/>
      <c r="C33" s="374"/>
      <c r="D33" s="374"/>
      <c r="E33" s="374"/>
      <c r="F33" s="374"/>
      <c r="G33" s="374"/>
      <c r="H33" s="374"/>
    </row>
    <row r="34" spans="1:8">
      <c r="A34" s="1"/>
      <c r="B34" s="371"/>
      <c r="C34" s="374"/>
      <c r="D34" s="374"/>
      <c r="E34" s="374"/>
      <c r="F34" s="374"/>
      <c r="G34" s="374"/>
      <c r="H34" s="374"/>
    </row>
    <row r="35" spans="1:8">
      <c r="A35" s="1"/>
      <c r="B35" s="372"/>
      <c r="C35" s="375"/>
      <c r="D35" s="375"/>
      <c r="E35" s="375"/>
      <c r="F35" s="375"/>
      <c r="G35" s="375"/>
      <c r="H35" s="375"/>
    </row>
  </sheetData>
  <mergeCells count="8">
    <mergeCell ref="C21:H21"/>
    <mergeCell ref="C22:D22"/>
    <mergeCell ref="E22:F22"/>
    <mergeCell ref="G22:H22"/>
    <mergeCell ref="B32:B35"/>
    <mergeCell ref="C32:D35"/>
    <mergeCell ref="E32:F35"/>
    <mergeCell ref="G32:H35"/>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N110"/>
  <sheetViews>
    <sheetView zoomScale="120" zoomScaleNormal="120" zoomScalePageLayoutView="120" workbookViewId="0">
      <pane xSplit="7" ySplit="2" topLeftCell="H3" activePane="bottomRight" state="frozenSplit"/>
      <selection pane="topRight" activeCell="H1" sqref="H1"/>
      <selection pane="bottomLeft" activeCell="A3" sqref="A3"/>
      <selection pane="bottomRight" activeCell="C1" sqref="C1"/>
    </sheetView>
  </sheetViews>
  <sheetFormatPr baseColWidth="10" defaultColWidth="8.83203125" defaultRowHeight="14" x14ac:dyDescent="0"/>
  <cols>
    <col min="1" max="6" width="3" style="216" customWidth="1"/>
    <col min="7" max="7" width="27.1640625" style="216" customWidth="1"/>
    <col min="8" max="8" width="24.5" style="217" bestFit="1" customWidth="1"/>
    <col min="9" max="9" width="2.33203125" style="217" customWidth="1"/>
    <col min="10" max="10" width="15.5" style="217" bestFit="1" customWidth="1"/>
    <col min="11" max="11" width="2.33203125" style="217" customWidth="1"/>
    <col min="12" max="12" width="23.5" style="217" bestFit="1" customWidth="1"/>
    <col min="13" max="13" width="2.33203125" style="217" customWidth="1"/>
    <col min="14" max="14" width="27.5" style="217" bestFit="1" customWidth="1"/>
    <col min="15" max="15" width="2.33203125" style="217" customWidth="1"/>
    <col min="16" max="16" width="11.1640625" style="217" bestFit="1" customWidth="1"/>
    <col min="17" max="17" width="2.33203125" style="217" customWidth="1"/>
    <col min="18" max="18" width="18.1640625" style="217" bestFit="1" customWidth="1"/>
    <col min="19" max="19" width="2.33203125" style="217" customWidth="1"/>
    <col min="20" max="20" width="11.1640625" style="217" bestFit="1" customWidth="1"/>
    <col min="21" max="21" width="2.33203125" style="217" customWidth="1"/>
    <col min="22" max="22" width="13.6640625" style="217" bestFit="1" customWidth="1"/>
    <col min="23" max="23" width="2.33203125" style="217" customWidth="1"/>
    <col min="24" max="24" width="20.6640625" style="217" bestFit="1" customWidth="1"/>
    <col min="25" max="25" width="2.33203125" style="217" customWidth="1"/>
    <col min="26" max="26" width="20.6640625" style="217" bestFit="1" customWidth="1"/>
    <col min="27" max="27" width="2.33203125" style="217" customWidth="1"/>
    <col min="28" max="28" width="20.6640625" style="217" bestFit="1" customWidth="1"/>
    <col min="29" max="29" width="2.33203125" style="217" customWidth="1"/>
    <col min="30" max="30" width="20.6640625" style="217" bestFit="1" customWidth="1"/>
    <col min="31" max="31" width="2.33203125" style="217" customWidth="1"/>
    <col min="32" max="32" width="20.6640625" style="217" bestFit="1" customWidth="1"/>
    <col min="33" max="33" width="2.33203125" style="217" customWidth="1"/>
    <col min="34" max="34" width="20.6640625" style="217" bestFit="1" customWidth="1"/>
    <col min="35" max="35" width="2.33203125" style="217" customWidth="1"/>
    <col min="36" max="36" width="20.6640625" style="217" bestFit="1" customWidth="1"/>
    <col min="37" max="37" width="2.33203125" style="217" customWidth="1"/>
    <col min="38" max="38" width="20.6640625" style="217" bestFit="1" customWidth="1"/>
    <col min="39" max="39" width="2.33203125" style="217" customWidth="1"/>
    <col min="40" max="40" width="24" style="217" bestFit="1" customWidth="1"/>
    <col min="41" max="41" width="2.33203125" style="217" customWidth="1"/>
    <col min="42" max="42" width="21.83203125" style="217" bestFit="1" customWidth="1"/>
    <col min="43" max="43" width="2.33203125" style="217" customWidth="1"/>
    <col min="44" max="44" width="21.83203125" style="217" bestFit="1" customWidth="1"/>
    <col min="45" max="45" width="2.33203125" style="217" customWidth="1"/>
    <col min="46" max="46" width="25" style="217" bestFit="1" customWidth="1"/>
    <col min="47" max="47" width="2.33203125" style="217" customWidth="1"/>
    <col min="48" max="48" width="9.33203125" style="217" bestFit="1" customWidth="1"/>
    <col min="49" max="49" width="2.33203125" style="217" customWidth="1"/>
    <col min="50" max="50" width="11.1640625" style="217" bestFit="1" customWidth="1"/>
    <col min="51" max="51" width="2.33203125" style="217" customWidth="1"/>
    <col min="52" max="52" width="11.1640625" style="217" bestFit="1" customWidth="1"/>
    <col min="53" max="53" width="2.33203125" style="217" customWidth="1"/>
    <col min="54" max="54" width="12" style="217" bestFit="1" customWidth="1"/>
    <col min="55" max="55" width="2.33203125" style="217" customWidth="1"/>
    <col min="56" max="56" width="9.83203125" style="217" bestFit="1" customWidth="1"/>
    <col min="57" max="57" width="2.33203125" style="217" customWidth="1"/>
    <col min="58" max="58" width="14.1640625" style="217" bestFit="1" customWidth="1"/>
    <col min="59" max="59" width="2.33203125" style="217" customWidth="1"/>
    <col min="60" max="60" width="26.83203125" style="217" bestFit="1" customWidth="1"/>
    <col min="61" max="61" width="2.33203125" style="217" customWidth="1"/>
    <col min="62" max="62" width="10.6640625" style="217" bestFit="1" customWidth="1"/>
    <col min="63" max="63" width="2.33203125" style="217" customWidth="1"/>
    <col min="64" max="64" width="26.83203125" style="217" bestFit="1" customWidth="1"/>
    <col min="65" max="65" width="2.33203125" style="217" customWidth="1"/>
    <col min="66" max="66" width="11.1640625" style="217" bestFit="1" customWidth="1"/>
    <col min="67" max="67" width="2.33203125" style="217" customWidth="1"/>
    <col min="68" max="68" width="11.1640625" style="217" bestFit="1" customWidth="1"/>
    <col min="69" max="69" width="2.33203125" style="217" customWidth="1"/>
    <col min="70" max="70" width="26.83203125" style="217" bestFit="1" customWidth="1"/>
    <col min="71" max="71" width="2.33203125" style="217" customWidth="1"/>
    <col min="72" max="72" width="26.83203125" style="217" bestFit="1" customWidth="1"/>
    <col min="73" max="73" width="2.33203125" style="217" customWidth="1"/>
    <col min="74" max="74" width="26.83203125" style="217" bestFit="1" customWidth="1"/>
    <col min="75" max="75" width="2.33203125" style="217" customWidth="1"/>
    <col min="76" max="76" width="26.83203125" style="217" bestFit="1" customWidth="1"/>
    <col min="77" max="77" width="2.33203125" style="217" customWidth="1"/>
    <col min="78" max="78" width="26.83203125" style="217" bestFit="1" customWidth="1"/>
    <col min="79" max="79" width="2.33203125" style="217" customWidth="1"/>
    <col min="80" max="80" width="26.83203125" style="217" bestFit="1" customWidth="1"/>
    <col min="81" max="81" width="2.33203125" style="217" customWidth="1"/>
    <col min="82" max="82" width="30.1640625" style="217" bestFit="1" customWidth="1"/>
    <col min="83" max="83" width="2.33203125" style="217" customWidth="1"/>
    <col min="84" max="84" width="10.5" style="217" bestFit="1" customWidth="1"/>
    <col min="85" max="85" width="2.33203125" style="217" customWidth="1"/>
    <col min="86" max="86" width="12" style="217" bestFit="1" customWidth="1"/>
    <col min="87" max="87" width="12.5" style="212" bestFit="1" customWidth="1"/>
    <col min="88" max="88" width="8.83203125" style="212"/>
    <col min="89" max="89" width="12.5" style="212" bestFit="1" customWidth="1"/>
    <col min="90" max="91" width="8.83203125" style="212"/>
    <col min="92" max="92" width="12.5" style="212" bestFit="1" customWidth="1"/>
    <col min="93" max="16384" width="8.83203125" style="212"/>
  </cols>
  <sheetData>
    <row r="1" spans="1:89" s="208" customFormat="1">
      <c r="A1" s="205"/>
      <c r="B1" s="205"/>
      <c r="C1" s="357" t="s">
        <v>660</v>
      </c>
      <c r="D1" s="205"/>
      <c r="E1" s="205"/>
      <c r="F1" s="205"/>
      <c r="G1" s="205"/>
      <c r="H1" s="207"/>
      <c r="I1" s="207"/>
      <c r="J1" s="207"/>
      <c r="K1" s="207"/>
      <c r="L1" s="207"/>
      <c r="M1" s="207"/>
      <c r="N1" s="207"/>
      <c r="O1" s="207"/>
      <c r="P1" s="205" t="s">
        <v>344</v>
      </c>
      <c r="Q1" s="207"/>
      <c r="R1" s="205" t="s">
        <v>345</v>
      </c>
      <c r="S1" s="207"/>
      <c r="T1" s="207"/>
      <c r="U1" s="207"/>
      <c r="V1" s="207"/>
      <c r="W1" s="207"/>
      <c r="X1" s="205" t="s">
        <v>346</v>
      </c>
      <c r="Y1" s="207"/>
      <c r="Z1" s="205" t="s">
        <v>347</v>
      </c>
      <c r="AA1" s="207"/>
      <c r="AB1" s="205" t="s">
        <v>348</v>
      </c>
      <c r="AC1" s="207"/>
      <c r="AD1" s="205" t="s">
        <v>349</v>
      </c>
      <c r="AE1" s="207"/>
      <c r="AF1" s="205" t="s">
        <v>9</v>
      </c>
      <c r="AG1" s="207"/>
      <c r="AH1" s="205" t="s">
        <v>8</v>
      </c>
      <c r="AI1" s="207"/>
      <c r="AJ1" s="205" t="s">
        <v>99</v>
      </c>
      <c r="AK1" s="207"/>
      <c r="AL1" s="205" t="s">
        <v>350</v>
      </c>
      <c r="AM1" s="207"/>
      <c r="AN1" s="207"/>
      <c r="AO1" s="207"/>
      <c r="AP1" s="205" t="s">
        <v>12</v>
      </c>
      <c r="AQ1" s="207"/>
      <c r="AR1" s="205" t="s">
        <v>101</v>
      </c>
      <c r="AS1" s="207"/>
      <c r="AT1" s="207"/>
      <c r="AU1" s="207"/>
      <c r="AV1" s="205" t="s">
        <v>7</v>
      </c>
      <c r="AW1" s="207"/>
      <c r="AX1" s="205" t="s">
        <v>10</v>
      </c>
      <c r="AY1" s="207"/>
      <c r="AZ1" s="205" t="s">
        <v>11</v>
      </c>
      <c r="BA1" s="207"/>
      <c r="BB1" s="205" t="s">
        <v>13</v>
      </c>
      <c r="BC1" s="207"/>
      <c r="BD1" s="205" t="s">
        <v>6</v>
      </c>
      <c r="BE1" s="207"/>
      <c r="BF1" s="205" t="s">
        <v>351</v>
      </c>
      <c r="BG1" s="207"/>
      <c r="BH1" s="205" t="s">
        <v>352</v>
      </c>
      <c r="BI1" s="207"/>
      <c r="BJ1" s="205" t="s">
        <v>353</v>
      </c>
      <c r="BK1" s="207"/>
      <c r="BL1" s="205" t="s">
        <v>354</v>
      </c>
      <c r="BM1" s="207"/>
      <c r="BN1" s="205" t="s">
        <v>88</v>
      </c>
      <c r="BO1" s="207"/>
      <c r="BP1" s="205" t="s">
        <v>355</v>
      </c>
      <c r="BQ1" s="207"/>
      <c r="BR1" s="205" t="s">
        <v>356</v>
      </c>
      <c r="BS1" s="207"/>
      <c r="BT1" s="205" t="s">
        <v>357</v>
      </c>
      <c r="BU1" s="207"/>
      <c r="BV1" s="205" t="s">
        <v>103</v>
      </c>
      <c r="BW1" s="207"/>
      <c r="BX1" s="205" t="s">
        <v>358</v>
      </c>
      <c r="BY1" s="207"/>
      <c r="BZ1" s="205" t="s">
        <v>359</v>
      </c>
      <c r="CA1" s="207"/>
      <c r="CB1" s="205" t="s">
        <v>360</v>
      </c>
      <c r="CC1" s="207"/>
      <c r="CD1" s="207"/>
      <c r="CE1" s="207"/>
      <c r="CF1" s="207"/>
      <c r="CG1" s="207"/>
      <c r="CH1" s="207"/>
    </row>
    <row r="2" spans="1:89" s="208" customFormat="1" ht="15" thickBot="1">
      <c r="A2" s="205"/>
      <c r="B2" s="205"/>
      <c r="C2" s="205"/>
      <c r="D2" s="205"/>
      <c r="E2" s="205"/>
      <c r="F2" s="205"/>
      <c r="G2" s="205"/>
      <c r="H2" s="206" t="s">
        <v>361</v>
      </c>
      <c r="I2" s="207"/>
      <c r="J2" s="206" t="s">
        <v>362</v>
      </c>
      <c r="K2" s="207"/>
      <c r="L2" s="206" t="s">
        <v>363</v>
      </c>
      <c r="M2" s="207"/>
      <c r="N2" s="206" t="s">
        <v>364</v>
      </c>
      <c r="O2" s="207"/>
      <c r="P2" s="206" t="s">
        <v>365</v>
      </c>
      <c r="Q2" s="207"/>
      <c r="R2" s="206" t="s">
        <v>365</v>
      </c>
      <c r="S2" s="207"/>
      <c r="T2" s="206" t="s">
        <v>366</v>
      </c>
      <c r="U2" s="207"/>
      <c r="V2" s="206" t="s">
        <v>367</v>
      </c>
      <c r="W2" s="207"/>
      <c r="X2" s="206" t="s">
        <v>368</v>
      </c>
      <c r="Y2" s="207"/>
      <c r="Z2" s="206" t="s">
        <v>368</v>
      </c>
      <c r="AA2" s="207"/>
      <c r="AB2" s="206" t="s">
        <v>368</v>
      </c>
      <c r="AC2" s="207"/>
      <c r="AD2" s="206" t="s">
        <v>368</v>
      </c>
      <c r="AE2" s="207"/>
      <c r="AF2" s="206" t="s">
        <v>368</v>
      </c>
      <c r="AG2" s="207"/>
      <c r="AH2" s="206" t="s">
        <v>368</v>
      </c>
      <c r="AI2" s="207"/>
      <c r="AJ2" s="206" t="s">
        <v>368</v>
      </c>
      <c r="AK2" s="207"/>
      <c r="AL2" s="206" t="s">
        <v>368</v>
      </c>
      <c r="AM2" s="207"/>
      <c r="AN2" s="206" t="s">
        <v>369</v>
      </c>
      <c r="AO2" s="207"/>
      <c r="AP2" s="206" t="s">
        <v>370</v>
      </c>
      <c r="AQ2" s="207"/>
      <c r="AR2" s="206" t="s">
        <v>370</v>
      </c>
      <c r="AS2" s="207"/>
      <c r="AT2" s="206" t="s">
        <v>371</v>
      </c>
      <c r="AU2" s="207"/>
      <c r="AV2" s="206" t="s">
        <v>372</v>
      </c>
      <c r="AW2" s="207"/>
      <c r="AX2" s="206" t="s">
        <v>372</v>
      </c>
      <c r="AY2" s="207"/>
      <c r="AZ2" s="206" t="s">
        <v>372</v>
      </c>
      <c r="BA2" s="207"/>
      <c r="BB2" s="206" t="s">
        <v>372</v>
      </c>
      <c r="BC2" s="207"/>
      <c r="BD2" s="206" t="s">
        <v>372</v>
      </c>
      <c r="BE2" s="207"/>
      <c r="BF2" s="206" t="s">
        <v>372</v>
      </c>
      <c r="BG2" s="207"/>
      <c r="BH2" s="206" t="s">
        <v>373</v>
      </c>
      <c r="BI2" s="207"/>
      <c r="BJ2" s="206" t="s">
        <v>374</v>
      </c>
      <c r="BK2" s="207"/>
      <c r="BL2" s="206" t="s">
        <v>373</v>
      </c>
      <c r="BM2" s="207"/>
      <c r="BN2" s="206" t="s">
        <v>375</v>
      </c>
      <c r="BO2" s="207"/>
      <c r="BP2" s="206" t="s">
        <v>375</v>
      </c>
      <c r="BQ2" s="207"/>
      <c r="BR2" s="206" t="s">
        <v>373</v>
      </c>
      <c r="BS2" s="207"/>
      <c r="BT2" s="206" t="s">
        <v>373</v>
      </c>
      <c r="BU2" s="207"/>
      <c r="BV2" s="206" t="s">
        <v>373</v>
      </c>
      <c r="BW2" s="207"/>
      <c r="BX2" s="206" t="s">
        <v>373</v>
      </c>
      <c r="BY2" s="207"/>
      <c r="BZ2" s="206" t="s">
        <v>373</v>
      </c>
      <c r="CA2" s="207"/>
      <c r="CB2" s="206" t="s">
        <v>373</v>
      </c>
      <c r="CC2" s="207"/>
      <c r="CD2" s="206" t="s">
        <v>376</v>
      </c>
      <c r="CE2" s="207"/>
      <c r="CF2" s="206" t="s">
        <v>377</v>
      </c>
      <c r="CG2" s="207"/>
      <c r="CH2" s="206" t="s">
        <v>90</v>
      </c>
    </row>
    <row r="3" spans="1:89" ht="15" thickTop="1">
      <c r="A3" s="209"/>
      <c r="B3" s="209" t="s">
        <v>104</v>
      </c>
      <c r="C3" s="209"/>
      <c r="D3" s="209"/>
      <c r="E3" s="209"/>
      <c r="F3" s="209"/>
      <c r="G3" s="209"/>
      <c r="H3" s="210"/>
      <c r="I3" s="211"/>
      <c r="J3" s="210"/>
      <c r="K3" s="211"/>
      <c r="L3" s="210"/>
      <c r="M3" s="211"/>
      <c r="N3" s="210"/>
      <c r="O3" s="211"/>
      <c r="P3" s="210"/>
      <c r="Q3" s="211"/>
      <c r="R3" s="210"/>
      <c r="S3" s="211"/>
      <c r="T3" s="210"/>
      <c r="U3" s="211"/>
      <c r="V3" s="210"/>
      <c r="W3" s="211"/>
      <c r="X3" s="210"/>
      <c r="Y3" s="211"/>
      <c r="Z3" s="210"/>
      <c r="AA3" s="211"/>
      <c r="AB3" s="210"/>
      <c r="AC3" s="211"/>
      <c r="AD3" s="210"/>
      <c r="AE3" s="211"/>
      <c r="AF3" s="210"/>
      <c r="AG3" s="211"/>
      <c r="AH3" s="210"/>
      <c r="AI3" s="211"/>
      <c r="AJ3" s="210"/>
      <c r="AK3" s="211"/>
      <c r="AL3" s="210"/>
      <c r="AM3" s="211"/>
      <c r="AN3" s="210"/>
      <c r="AO3" s="211"/>
      <c r="AP3" s="210"/>
      <c r="AQ3" s="211"/>
      <c r="AR3" s="210"/>
      <c r="AS3" s="211"/>
      <c r="AT3" s="210"/>
      <c r="AU3" s="211"/>
      <c r="AV3" s="210"/>
      <c r="AW3" s="211"/>
      <c r="AX3" s="210"/>
      <c r="AY3" s="211"/>
      <c r="AZ3" s="210"/>
      <c r="BA3" s="211"/>
      <c r="BB3" s="210"/>
      <c r="BC3" s="211"/>
      <c r="BD3" s="210"/>
      <c r="BE3" s="211"/>
      <c r="BF3" s="210"/>
      <c r="BG3" s="211"/>
      <c r="BH3" s="210"/>
      <c r="BI3" s="211"/>
      <c r="BJ3" s="210"/>
      <c r="BK3" s="211"/>
      <c r="BL3" s="210"/>
      <c r="BM3" s="211"/>
      <c r="BN3" s="210"/>
      <c r="BO3" s="211"/>
      <c r="BP3" s="210"/>
      <c r="BQ3" s="211"/>
      <c r="BR3" s="210"/>
      <c r="BS3" s="211"/>
      <c r="BT3" s="210"/>
      <c r="BU3" s="211"/>
      <c r="BV3" s="210"/>
      <c r="BW3" s="211"/>
      <c r="BX3" s="210"/>
      <c r="BY3" s="211"/>
      <c r="BZ3" s="210"/>
      <c r="CA3" s="211"/>
      <c r="CB3" s="210"/>
      <c r="CC3" s="211"/>
      <c r="CD3" s="210"/>
      <c r="CE3" s="211"/>
      <c r="CF3" s="210"/>
      <c r="CG3" s="211"/>
      <c r="CH3" s="210"/>
    </row>
    <row r="4" spans="1:89">
      <c r="A4" s="209"/>
      <c r="B4" s="209"/>
      <c r="C4" s="209"/>
      <c r="D4" s="209" t="s">
        <v>105</v>
      </c>
      <c r="E4" s="209"/>
      <c r="F4" s="209"/>
      <c r="G4" s="209"/>
      <c r="H4" s="210"/>
      <c r="I4" s="211"/>
      <c r="J4" s="210"/>
      <c r="K4" s="211"/>
      <c r="L4" s="210"/>
      <c r="M4" s="211"/>
      <c r="N4" s="210"/>
      <c r="O4" s="211"/>
      <c r="P4" s="210"/>
      <c r="Q4" s="211"/>
      <c r="R4" s="210"/>
      <c r="S4" s="211"/>
      <c r="T4" s="210"/>
      <c r="U4" s="211"/>
      <c r="V4" s="210"/>
      <c r="W4" s="211"/>
      <c r="X4" s="210"/>
      <c r="Y4" s="211"/>
      <c r="Z4" s="210"/>
      <c r="AA4" s="211"/>
      <c r="AB4" s="210"/>
      <c r="AC4" s="211"/>
      <c r="AD4" s="210"/>
      <c r="AE4" s="211"/>
      <c r="AF4" s="210"/>
      <c r="AG4" s="211"/>
      <c r="AH4" s="210"/>
      <c r="AI4" s="211"/>
      <c r="AJ4" s="210"/>
      <c r="AK4" s="211"/>
      <c r="AL4" s="210"/>
      <c r="AM4" s="211"/>
      <c r="AN4" s="210"/>
      <c r="AO4" s="211"/>
      <c r="AP4" s="210"/>
      <c r="AQ4" s="211"/>
      <c r="AR4" s="210"/>
      <c r="AS4" s="211"/>
      <c r="AT4" s="210"/>
      <c r="AU4" s="211"/>
      <c r="AV4" s="210"/>
      <c r="AW4" s="211"/>
      <c r="AX4" s="210"/>
      <c r="AY4" s="211"/>
      <c r="AZ4" s="210"/>
      <c r="BA4" s="211"/>
      <c r="BB4" s="210"/>
      <c r="BC4" s="211"/>
      <c r="BD4" s="210"/>
      <c r="BE4" s="211"/>
      <c r="BF4" s="210"/>
      <c r="BG4" s="211"/>
      <c r="BH4" s="210"/>
      <c r="BI4" s="211"/>
      <c r="BJ4" s="210"/>
      <c r="BK4" s="211"/>
      <c r="BL4" s="210"/>
      <c r="BM4" s="211"/>
      <c r="BN4" s="210"/>
      <c r="BO4" s="211"/>
      <c r="BP4" s="210"/>
      <c r="BQ4" s="211"/>
      <c r="BR4" s="210"/>
      <c r="BS4" s="211"/>
      <c r="BT4" s="210"/>
      <c r="BU4" s="211"/>
      <c r="BV4" s="210"/>
      <c r="BW4" s="211"/>
      <c r="BX4" s="210"/>
      <c r="BY4" s="211"/>
      <c r="BZ4" s="210"/>
      <c r="CA4" s="211"/>
      <c r="CB4" s="210"/>
      <c r="CC4" s="211"/>
      <c r="CD4" s="210"/>
      <c r="CE4" s="211"/>
      <c r="CF4" s="210"/>
      <c r="CG4" s="211"/>
      <c r="CH4" s="210"/>
    </row>
    <row r="5" spans="1:89">
      <c r="A5" s="209"/>
      <c r="B5" s="209"/>
      <c r="C5" s="209"/>
      <c r="D5" s="209"/>
      <c r="E5" s="209" t="s">
        <v>330</v>
      </c>
      <c r="F5" s="209"/>
      <c r="G5" s="209"/>
      <c r="H5" s="210">
        <v>0</v>
      </c>
      <c r="I5" s="211"/>
      <c r="J5" s="210">
        <v>0</v>
      </c>
      <c r="K5" s="211"/>
      <c r="L5" s="210">
        <v>0</v>
      </c>
      <c r="M5" s="211"/>
      <c r="N5" s="210">
        <v>0</v>
      </c>
      <c r="O5" s="211"/>
      <c r="P5" s="210">
        <v>0</v>
      </c>
      <c r="Q5" s="211"/>
      <c r="R5" s="210">
        <v>0</v>
      </c>
      <c r="S5" s="211"/>
      <c r="T5" s="210">
        <f>ROUND(SUM(P5:R5),5)</f>
        <v>0</v>
      </c>
      <c r="U5" s="211"/>
      <c r="V5" s="210">
        <v>0</v>
      </c>
      <c r="W5" s="211"/>
      <c r="X5" s="210">
        <v>0</v>
      </c>
      <c r="Y5" s="211"/>
      <c r="Z5" s="210">
        <v>0</v>
      </c>
      <c r="AA5" s="211"/>
      <c r="AB5" s="210">
        <v>0</v>
      </c>
      <c r="AC5" s="211"/>
      <c r="AD5" s="210">
        <v>0</v>
      </c>
      <c r="AE5" s="211"/>
      <c r="AF5" s="210">
        <v>0</v>
      </c>
      <c r="AG5" s="211"/>
      <c r="AH5" s="210">
        <v>0</v>
      </c>
      <c r="AI5" s="211"/>
      <c r="AJ5" s="210">
        <v>0</v>
      </c>
      <c r="AK5" s="211"/>
      <c r="AL5" s="210">
        <v>0</v>
      </c>
      <c r="AM5" s="211"/>
      <c r="AN5" s="210">
        <f>ROUND(SUM(X5:AL5),5)</f>
        <v>0</v>
      </c>
      <c r="AO5" s="211"/>
      <c r="AP5" s="210">
        <v>0</v>
      </c>
      <c r="AQ5" s="211"/>
      <c r="AR5" s="210">
        <v>0</v>
      </c>
      <c r="AS5" s="211"/>
      <c r="AT5" s="210">
        <f>ROUND(SUM(AP5:AR5),5)</f>
        <v>0</v>
      </c>
      <c r="AU5" s="211"/>
      <c r="AV5" s="210">
        <v>0</v>
      </c>
      <c r="AW5" s="211"/>
      <c r="AX5" s="210">
        <v>0</v>
      </c>
      <c r="AY5" s="211"/>
      <c r="AZ5" s="210">
        <v>0</v>
      </c>
      <c r="BA5" s="211"/>
      <c r="BB5" s="210">
        <v>0</v>
      </c>
      <c r="BC5" s="211"/>
      <c r="BD5" s="210">
        <v>0</v>
      </c>
      <c r="BE5" s="211"/>
      <c r="BF5" s="210">
        <v>0</v>
      </c>
      <c r="BG5" s="211"/>
      <c r="BH5" s="210">
        <f>ROUND(SUM(AV5:BF5),5)</f>
        <v>0</v>
      </c>
      <c r="BI5" s="211"/>
      <c r="BJ5" s="210">
        <v>0</v>
      </c>
      <c r="BK5" s="211"/>
      <c r="BL5" s="210">
        <f>BJ5</f>
        <v>0</v>
      </c>
      <c r="BM5" s="211"/>
      <c r="BN5" s="210">
        <v>0</v>
      </c>
      <c r="BO5" s="211"/>
      <c r="BP5" s="210">
        <v>0</v>
      </c>
      <c r="BQ5" s="211"/>
      <c r="BR5" s="210">
        <f>ROUND(SUM(BN5:BP5),5)</f>
        <v>0</v>
      </c>
      <c r="BS5" s="211"/>
      <c r="BT5" s="210">
        <v>-0.01</v>
      </c>
      <c r="BU5" s="211"/>
      <c r="BV5" s="210">
        <v>0</v>
      </c>
      <c r="BW5" s="211"/>
      <c r="BX5" s="210">
        <v>0</v>
      </c>
      <c r="BY5" s="211"/>
      <c r="BZ5" s="210">
        <v>0</v>
      </c>
      <c r="CA5" s="211"/>
      <c r="CB5" s="210">
        <v>0</v>
      </c>
      <c r="CC5" s="211"/>
      <c r="CD5" s="210">
        <f>ROUND(BH5+BL5+SUM(BR5:CB5),5)</f>
        <v>-0.01</v>
      </c>
      <c r="CE5" s="211"/>
      <c r="CF5" s="210">
        <v>0</v>
      </c>
      <c r="CG5" s="211"/>
      <c r="CH5" s="210">
        <f>ROUND(SUM(H5:N5)+SUM(T5:V5)+AN5+AT5+SUM(CD5:CF5),5)</f>
        <v>-0.01</v>
      </c>
    </row>
    <row r="6" spans="1:89">
      <c r="A6" s="209"/>
      <c r="B6" s="209"/>
      <c r="C6" s="209"/>
      <c r="D6" s="209"/>
      <c r="E6" s="209" t="s">
        <v>378</v>
      </c>
      <c r="F6" s="209"/>
      <c r="G6" s="209"/>
      <c r="H6" s="210">
        <v>0</v>
      </c>
      <c r="I6" s="211"/>
      <c r="J6" s="210">
        <v>0</v>
      </c>
      <c r="K6" s="211"/>
      <c r="L6" s="210">
        <v>0</v>
      </c>
      <c r="M6" s="211"/>
      <c r="N6" s="210">
        <v>0</v>
      </c>
      <c r="O6" s="211"/>
      <c r="P6" s="210">
        <v>6007957.9299999997</v>
      </c>
      <c r="Q6" s="211"/>
      <c r="R6" s="210">
        <v>-3824062.61</v>
      </c>
      <c r="S6" s="211"/>
      <c r="T6" s="314">
        <f>ROUND(SUM(P6:R6),5)</f>
        <v>2183895.3199999998</v>
      </c>
      <c r="U6" s="211"/>
      <c r="V6" s="210">
        <v>0</v>
      </c>
      <c r="W6" s="211"/>
      <c r="X6" s="210">
        <v>0</v>
      </c>
      <c r="Y6" s="211"/>
      <c r="Z6" s="210">
        <v>0</v>
      </c>
      <c r="AA6" s="211"/>
      <c r="AB6" s="210">
        <v>0</v>
      </c>
      <c r="AC6" s="211"/>
      <c r="AD6" s="210">
        <v>0</v>
      </c>
      <c r="AE6" s="211"/>
      <c r="AF6" s="210">
        <v>0</v>
      </c>
      <c r="AG6" s="211"/>
      <c r="AH6" s="210">
        <v>0</v>
      </c>
      <c r="AI6" s="211"/>
      <c r="AJ6" s="210">
        <v>0</v>
      </c>
      <c r="AK6" s="211"/>
      <c r="AL6" s="210">
        <v>0</v>
      </c>
      <c r="AM6" s="211"/>
      <c r="AN6" s="210">
        <f>ROUND(SUM(X6:AL6),5)</f>
        <v>0</v>
      </c>
      <c r="AO6" s="211"/>
      <c r="AP6" s="210">
        <v>0</v>
      </c>
      <c r="AQ6" s="211"/>
      <c r="AR6" s="210">
        <v>0</v>
      </c>
      <c r="AS6" s="211"/>
      <c r="AT6" s="210">
        <f>ROUND(SUM(AP6:AR6),5)</f>
        <v>0</v>
      </c>
      <c r="AU6" s="211"/>
      <c r="AV6" s="210">
        <v>0</v>
      </c>
      <c r="AW6" s="211"/>
      <c r="AX6" s="210">
        <v>0</v>
      </c>
      <c r="AY6" s="211"/>
      <c r="AZ6" s="210">
        <v>0</v>
      </c>
      <c r="BA6" s="211"/>
      <c r="BB6" s="210">
        <v>0</v>
      </c>
      <c r="BC6" s="211"/>
      <c r="BD6" s="210">
        <v>0</v>
      </c>
      <c r="BE6" s="211"/>
      <c r="BF6" s="210">
        <v>0</v>
      </c>
      <c r="BG6" s="211"/>
      <c r="BH6" s="210">
        <f>ROUND(SUM(AV6:BF6),5)</f>
        <v>0</v>
      </c>
      <c r="BI6" s="211"/>
      <c r="BJ6" s="210">
        <v>0</v>
      </c>
      <c r="BK6" s="211"/>
      <c r="BL6" s="210">
        <f>BJ6</f>
        <v>0</v>
      </c>
      <c r="BM6" s="211"/>
      <c r="BN6" s="210">
        <v>0</v>
      </c>
      <c r="BO6" s="211"/>
      <c r="BP6" s="210">
        <v>0</v>
      </c>
      <c r="BQ6" s="211"/>
      <c r="BR6" s="210">
        <f>ROUND(SUM(BN6:BP6),5)</f>
        <v>0</v>
      </c>
      <c r="BS6" s="211"/>
      <c r="BT6" s="210">
        <v>0</v>
      </c>
      <c r="BU6" s="211"/>
      <c r="BV6" s="210">
        <v>0</v>
      </c>
      <c r="BW6" s="211"/>
      <c r="BX6" s="210">
        <v>0</v>
      </c>
      <c r="BY6" s="211"/>
      <c r="BZ6" s="210">
        <v>0</v>
      </c>
      <c r="CA6" s="211"/>
      <c r="CB6" s="210">
        <v>0</v>
      </c>
      <c r="CC6" s="211"/>
      <c r="CD6" s="210">
        <f>ROUND(BH6+BL6+SUM(BR6:CB6),5)</f>
        <v>0</v>
      </c>
      <c r="CE6" s="211"/>
      <c r="CF6" s="210">
        <v>0</v>
      </c>
      <c r="CG6" s="211"/>
      <c r="CH6" s="314">
        <f>ROUND(SUM(H6:N6)+SUM(T6:V6)+AN6+AT6+SUM(CD6:CF6),5)</f>
        <v>2183895.3199999998</v>
      </c>
      <c r="CI6" s="212" t="s">
        <v>582</v>
      </c>
    </row>
    <row r="7" spans="1:89">
      <c r="A7" s="209"/>
      <c r="B7" s="209"/>
      <c r="C7" s="209"/>
      <c r="D7" s="209"/>
      <c r="E7" s="209" t="s">
        <v>379</v>
      </c>
      <c r="F7" s="209"/>
      <c r="G7" s="209"/>
      <c r="H7" s="210">
        <v>0</v>
      </c>
      <c r="I7" s="211"/>
      <c r="J7" s="210">
        <v>0</v>
      </c>
      <c r="K7" s="211"/>
      <c r="L7" s="210">
        <v>0</v>
      </c>
      <c r="M7" s="211"/>
      <c r="N7" s="210">
        <v>0</v>
      </c>
      <c r="O7" s="211"/>
      <c r="P7" s="210">
        <v>0</v>
      </c>
      <c r="Q7" s="211"/>
      <c r="R7" s="210">
        <v>0</v>
      </c>
      <c r="S7" s="211"/>
      <c r="T7" s="210">
        <f>ROUND(SUM(P7:R7),5)</f>
        <v>0</v>
      </c>
      <c r="U7" s="211"/>
      <c r="V7" s="210">
        <v>0</v>
      </c>
      <c r="W7" s="211"/>
      <c r="X7" s="210">
        <v>0</v>
      </c>
      <c r="Y7" s="211"/>
      <c r="Z7" s="210">
        <v>0</v>
      </c>
      <c r="AA7" s="211"/>
      <c r="AB7" s="210">
        <v>0</v>
      </c>
      <c r="AC7" s="211"/>
      <c r="AD7" s="210">
        <v>0</v>
      </c>
      <c r="AE7" s="211"/>
      <c r="AF7" s="210">
        <v>0</v>
      </c>
      <c r="AG7" s="211"/>
      <c r="AH7" s="210">
        <v>0</v>
      </c>
      <c r="AI7" s="211"/>
      <c r="AJ7" s="210">
        <v>0</v>
      </c>
      <c r="AK7" s="211"/>
      <c r="AL7" s="210">
        <v>0</v>
      </c>
      <c r="AM7" s="211"/>
      <c r="AN7" s="210">
        <f>ROUND(SUM(X7:AL7),5)</f>
        <v>0</v>
      </c>
      <c r="AO7" s="211"/>
      <c r="AP7" s="210">
        <v>0</v>
      </c>
      <c r="AQ7" s="211"/>
      <c r="AR7" s="210">
        <v>0</v>
      </c>
      <c r="AS7" s="211"/>
      <c r="AT7" s="210">
        <f>ROUND(SUM(AP7:AR7),5)</f>
        <v>0</v>
      </c>
      <c r="AU7" s="211"/>
      <c r="AV7" s="210">
        <v>0</v>
      </c>
      <c r="AW7" s="211"/>
      <c r="AX7" s="210">
        <v>0</v>
      </c>
      <c r="AY7" s="211"/>
      <c r="AZ7" s="210">
        <v>0</v>
      </c>
      <c r="BA7" s="211"/>
      <c r="BB7" s="210">
        <v>0</v>
      </c>
      <c r="BC7" s="211"/>
      <c r="BD7" s="210">
        <v>0</v>
      </c>
      <c r="BE7" s="211"/>
      <c r="BF7" s="210">
        <v>0</v>
      </c>
      <c r="BG7" s="211"/>
      <c r="BH7" s="210">
        <f>ROUND(SUM(AV7:BF7),5)</f>
        <v>0</v>
      </c>
      <c r="BI7" s="211"/>
      <c r="BJ7" s="210">
        <v>0</v>
      </c>
      <c r="BK7" s="211"/>
      <c r="BL7" s="210">
        <f>BJ7</f>
        <v>0</v>
      </c>
      <c r="BM7" s="211"/>
      <c r="BN7" s="210">
        <v>0</v>
      </c>
      <c r="BO7" s="211"/>
      <c r="BP7" s="210">
        <v>0</v>
      </c>
      <c r="BQ7" s="211"/>
      <c r="BR7" s="210">
        <f>ROUND(SUM(BN7:BP7),5)</f>
        <v>0</v>
      </c>
      <c r="BS7" s="211"/>
      <c r="BT7" s="210">
        <v>0</v>
      </c>
      <c r="BU7" s="211"/>
      <c r="BV7" s="210">
        <v>0</v>
      </c>
      <c r="BW7" s="211"/>
      <c r="BX7" s="210">
        <v>0</v>
      </c>
      <c r="BY7" s="211"/>
      <c r="BZ7" s="210">
        <v>0</v>
      </c>
      <c r="CA7" s="211"/>
      <c r="CB7" s="210">
        <v>0</v>
      </c>
      <c r="CC7" s="211"/>
      <c r="CD7" s="210">
        <f>ROUND(BH7+BL7+SUM(BR7:CB7),5)</f>
        <v>0</v>
      </c>
      <c r="CE7" s="211"/>
      <c r="CF7" s="210">
        <v>0</v>
      </c>
      <c r="CG7" s="211"/>
      <c r="CH7" s="210">
        <f>ROUND(SUM(H7:N7)+SUM(T7:V7)+AN7+AT7+SUM(CD7:CF7),5)</f>
        <v>0</v>
      </c>
    </row>
    <row r="8" spans="1:89">
      <c r="A8" s="209"/>
      <c r="B8" s="209"/>
      <c r="C8" s="209"/>
      <c r="D8" s="209"/>
      <c r="E8" s="209" t="s">
        <v>106</v>
      </c>
      <c r="F8" s="209"/>
      <c r="G8" s="209"/>
      <c r="H8" s="210"/>
      <c r="I8" s="211"/>
      <c r="J8" s="210"/>
      <c r="K8" s="211"/>
      <c r="L8" s="210"/>
      <c r="M8" s="211"/>
      <c r="N8" s="210"/>
      <c r="O8" s="211"/>
      <c r="P8" s="210"/>
      <c r="Q8" s="211"/>
      <c r="R8" s="210"/>
      <c r="S8" s="211"/>
      <c r="T8" s="210"/>
      <c r="U8" s="211"/>
      <c r="V8" s="210"/>
      <c r="W8" s="211"/>
      <c r="X8" s="210"/>
      <c r="Y8" s="211"/>
      <c r="Z8" s="210"/>
      <c r="AA8" s="211"/>
      <c r="AB8" s="210"/>
      <c r="AC8" s="211"/>
      <c r="AD8" s="210"/>
      <c r="AE8" s="211"/>
      <c r="AF8" s="210"/>
      <c r="AG8" s="211"/>
      <c r="AH8" s="210"/>
      <c r="AI8" s="211"/>
      <c r="AJ8" s="210"/>
      <c r="AK8" s="211"/>
      <c r="AL8" s="210"/>
      <c r="AM8" s="211"/>
      <c r="AN8" s="210"/>
      <c r="AO8" s="211"/>
      <c r="AP8" s="210"/>
      <c r="AQ8" s="211"/>
      <c r="AR8" s="210"/>
      <c r="AS8" s="211"/>
      <c r="AT8" s="210"/>
      <c r="AU8" s="211"/>
      <c r="AV8" s="210"/>
      <c r="AW8" s="211"/>
      <c r="AX8" s="210"/>
      <c r="AY8" s="211"/>
      <c r="AZ8" s="210"/>
      <c r="BA8" s="211"/>
      <c r="BB8" s="210"/>
      <c r="BC8" s="211"/>
      <c r="BD8" s="210"/>
      <c r="BE8" s="211"/>
      <c r="BF8" s="210"/>
      <c r="BG8" s="211"/>
      <c r="BH8" s="210"/>
      <c r="BI8" s="211"/>
      <c r="BJ8" s="210"/>
      <c r="BK8" s="211"/>
      <c r="BL8" s="210"/>
      <c r="BM8" s="211"/>
      <c r="BN8" s="210"/>
      <c r="BO8" s="211"/>
      <c r="BP8" s="210"/>
      <c r="BQ8" s="211"/>
      <c r="BR8" s="210"/>
      <c r="BS8" s="211"/>
      <c r="BT8" s="210"/>
      <c r="BU8" s="211"/>
      <c r="BV8" s="210"/>
      <c r="BW8" s="211"/>
      <c r="BX8" s="210"/>
      <c r="BY8" s="211"/>
      <c r="BZ8" s="210"/>
      <c r="CA8" s="211"/>
      <c r="CB8" s="210"/>
      <c r="CC8" s="211"/>
      <c r="CD8" s="210"/>
      <c r="CE8" s="211"/>
      <c r="CF8" s="210"/>
      <c r="CG8" s="211"/>
      <c r="CH8" s="210"/>
    </row>
    <row r="9" spans="1:89">
      <c r="A9" s="209"/>
      <c r="B9" s="209"/>
      <c r="C9" s="209"/>
      <c r="D9" s="209"/>
      <c r="E9" s="209"/>
      <c r="F9" s="209" t="s">
        <v>380</v>
      </c>
      <c r="G9" s="209"/>
      <c r="H9" s="210">
        <v>0</v>
      </c>
      <c r="I9" s="211"/>
      <c r="J9" s="210">
        <v>0</v>
      </c>
      <c r="K9" s="211"/>
      <c r="L9" s="210">
        <v>0</v>
      </c>
      <c r="M9" s="211"/>
      <c r="N9" s="210">
        <v>0</v>
      </c>
      <c r="O9" s="211"/>
      <c r="P9" s="210">
        <v>0</v>
      </c>
      <c r="Q9" s="211"/>
      <c r="R9" s="210">
        <v>0</v>
      </c>
      <c r="S9" s="211"/>
      <c r="T9" s="210">
        <f t="shared" ref="T9:T14" si="0">ROUND(SUM(P9:R9),5)</f>
        <v>0</v>
      </c>
      <c r="U9" s="211"/>
      <c r="V9" s="210">
        <v>0</v>
      </c>
      <c r="W9" s="211"/>
      <c r="X9" s="210">
        <v>0</v>
      </c>
      <c r="Y9" s="211"/>
      <c r="Z9" s="210">
        <v>0</v>
      </c>
      <c r="AA9" s="211"/>
      <c r="AB9" s="210">
        <v>0</v>
      </c>
      <c r="AC9" s="211"/>
      <c r="AD9" s="210">
        <v>0</v>
      </c>
      <c r="AE9" s="211"/>
      <c r="AF9" s="210">
        <v>0</v>
      </c>
      <c r="AG9" s="211"/>
      <c r="AH9" s="210">
        <v>0</v>
      </c>
      <c r="AI9" s="211"/>
      <c r="AJ9" s="210">
        <v>0</v>
      </c>
      <c r="AK9" s="211"/>
      <c r="AL9" s="210">
        <v>1082.3499999999999</v>
      </c>
      <c r="AM9" s="211"/>
      <c r="AN9" s="210">
        <f t="shared" ref="AN9:AN14" si="1">ROUND(SUM(X9:AL9),5)</f>
        <v>1082.3499999999999</v>
      </c>
      <c r="AO9" s="211"/>
      <c r="AP9" s="210">
        <v>0</v>
      </c>
      <c r="AQ9" s="211"/>
      <c r="AR9" s="210">
        <v>0</v>
      </c>
      <c r="AS9" s="211"/>
      <c r="AT9" s="210">
        <f t="shared" ref="AT9:AT14" si="2">ROUND(SUM(AP9:AR9),5)</f>
        <v>0</v>
      </c>
      <c r="AU9" s="211"/>
      <c r="AV9" s="210">
        <v>0</v>
      </c>
      <c r="AW9" s="211"/>
      <c r="AX9" s="210">
        <v>0</v>
      </c>
      <c r="AY9" s="211"/>
      <c r="AZ9" s="210">
        <v>0</v>
      </c>
      <c r="BA9" s="211"/>
      <c r="BB9" s="210">
        <v>0</v>
      </c>
      <c r="BC9" s="211"/>
      <c r="BD9" s="210">
        <v>0</v>
      </c>
      <c r="BE9" s="211"/>
      <c r="BF9" s="210">
        <v>0</v>
      </c>
      <c r="BG9" s="211"/>
      <c r="BH9" s="210">
        <f t="shared" ref="BH9:BH14" si="3">ROUND(SUM(AV9:BF9),5)</f>
        <v>0</v>
      </c>
      <c r="BI9" s="211"/>
      <c r="BJ9" s="210">
        <v>0</v>
      </c>
      <c r="BK9" s="211"/>
      <c r="BL9" s="210">
        <f t="shared" ref="BL9:BL14" si="4">BJ9</f>
        <v>0</v>
      </c>
      <c r="BM9" s="211"/>
      <c r="BN9" s="210">
        <v>0</v>
      </c>
      <c r="BO9" s="211"/>
      <c r="BP9" s="210">
        <v>0</v>
      </c>
      <c r="BQ9" s="211"/>
      <c r="BR9" s="210">
        <f t="shared" ref="BR9:BR14" si="5">ROUND(SUM(BN9:BP9),5)</f>
        <v>0</v>
      </c>
      <c r="BS9" s="211"/>
      <c r="BT9" s="210">
        <v>0</v>
      </c>
      <c r="BU9" s="211"/>
      <c r="BV9" s="210">
        <v>0</v>
      </c>
      <c r="BW9" s="211"/>
      <c r="BX9" s="210">
        <v>0</v>
      </c>
      <c r="BY9" s="211"/>
      <c r="BZ9" s="210">
        <v>0</v>
      </c>
      <c r="CA9" s="211"/>
      <c r="CB9" s="210">
        <v>0</v>
      </c>
      <c r="CC9" s="211"/>
      <c r="CD9" s="210">
        <f t="shared" ref="CD9:CD14" si="6">ROUND(BH9+BL9+SUM(BR9:CB9),5)</f>
        <v>0</v>
      </c>
      <c r="CE9" s="211"/>
      <c r="CF9" s="210">
        <v>0</v>
      </c>
      <c r="CG9" s="211"/>
      <c r="CH9" s="210">
        <f t="shared" ref="CH9:CH14" si="7">ROUND(SUM(H9:N9)+SUM(T9:V9)+AN9+AT9+SUM(CD9:CF9),5)</f>
        <v>1082.3499999999999</v>
      </c>
    </row>
    <row r="10" spans="1:89">
      <c r="A10" s="209"/>
      <c r="B10" s="209"/>
      <c r="C10" s="209"/>
      <c r="D10" s="209"/>
      <c r="E10" s="209"/>
      <c r="F10" s="209" t="s">
        <v>107</v>
      </c>
      <c r="G10" s="209"/>
      <c r="H10" s="210">
        <v>0</v>
      </c>
      <c r="I10" s="211"/>
      <c r="J10" s="210">
        <v>0</v>
      </c>
      <c r="K10" s="211"/>
      <c r="L10" s="210">
        <v>0</v>
      </c>
      <c r="M10" s="211"/>
      <c r="N10" s="210">
        <v>0</v>
      </c>
      <c r="O10" s="211"/>
      <c r="P10" s="210">
        <v>0</v>
      </c>
      <c r="Q10" s="211"/>
      <c r="R10" s="210">
        <v>0</v>
      </c>
      <c r="S10" s="211"/>
      <c r="T10" s="210">
        <f t="shared" si="0"/>
        <v>0</v>
      </c>
      <c r="U10" s="211"/>
      <c r="V10" s="210">
        <v>0</v>
      </c>
      <c r="W10" s="211"/>
      <c r="X10" s="210">
        <v>0</v>
      </c>
      <c r="Y10" s="211"/>
      <c r="Z10" s="210">
        <v>8997.7800000000007</v>
      </c>
      <c r="AA10" s="211"/>
      <c r="AB10" s="210">
        <v>249163.38</v>
      </c>
      <c r="AC10" s="211"/>
      <c r="AD10" s="210">
        <v>0</v>
      </c>
      <c r="AE10" s="211"/>
      <c r="AF10" s="210">
        <v>841924.5</v>
      </c>
      <c r="AG10" s="211"/>
      <c r="AH10" s="210">
        <v>51892.51</v>
      </c>
      <c r="AI10" s="211"/>
      <c r="AJ10" s="210">
        <v>0</v>
      </c>
      <c r="AK10" s="211"/>
      <c r="AL10" s="210">
        <v>18986.72</v>
      </c>
      <c r="AM10" s="211"/>
      <c r="AN10" s="210">
        <f t="shared" si="1"/>
        <v>1170964.8899999999</v>
      </c>
      <c r="AO10" s="211"/>
      <c r="AP10" s="210">
        <v>948906.5</v>
      </c>
      <c r="AQ10" s="211"/>
      <c r="AR10" s="210">
        <v>0</v>
      </c>
      <c r="AS10" s="211"/>
      <c r="AT10" s="210">
        <f t="shared" si="2"/>
        <v>948906.5</v>
      </c>
      <c r="AU10" s="211"/>
      <c r="AV10" s="210">
        <v>96304.49</v>
      </c>
      <c r="AW10" s="211"/>
      <c r="AX10" s="210">
        <v>1988022.9</v>
      </c>
      <c r="AY10" s="211"/>
      <c r="AZ10" s="210">
        <v>1145034.06</v>
      </c>
      <c r="BA10" s="211"/>
      <c r="BB10" s="210">
        <v>7376124.7199999997</v>
      </c>
      <c r="BC10" s="211"/>
      <c r="BD10" s="210">
        <v>270013.53000000003</v>
      </c>
      <c r="BE10" s="211"/>
      <c r="BF10" s="210">
        <v>0</v>
      </c>
      <c r="BG10" s="211"/>
      <c r="BH10" s="210">
        <f t="shared" si="3"/>
        <v>10875499.699999999</v>
      </c>
      <c r="BI10" s="211"/>
      <c r="BJ10" s="210">
        <v>0</v>
      </c>
      <c r="BK10" s="211"/>
      <c r="BL10" s="210">
        <f t="shared" si="4"/>
        <v>0</v>
      </c>
      <c r="BM10" s="211"/>
      <c r="BN10" s="210">
        <v>1281552.83</v>
      </c>
      <c r="BO10" s="211"/>
      <c r="BP10" s="210">
        <v>52283.25</v>
      </c>
      <c r="BQ10" s="211"/>
      <c r="BR10" s="210">
        <f t="shared" si="5"/>
        <v>1333836.08</v>
      </c>
      <c r="BS10" s="211"/>
      <c r="BT10" s="210">
        <v>0</v>
      </c>
      <c r="BU10" s="211"/>
      <c r="BV10" s="210">
        <v>0</v>
      </c>
      <c r="BW10" s="211"/>
      <c r="BX10" s="210">
        <v>0</v>
      </c>
      <c r="BY10" s="211"/>
      <c r="BZ10" s="210">
        <v>0</v>
      </c>
      <c r="CA10" s="211"/>
      <c r="CB10" s="210">
        <v>0</v>
      </c>
      <c r="CC10" s="211"/>
      <c r="CD10" s="210">
        <f t="shared" si="6"/>
        <v>12209335.779999999</v>
      </c>
      <c r="CE10" s="211"/>
      <c r="CF10" s="210">
        <v>0</v>
      </c>
      <c r="CG10" s="211"/>
      <c r="CH10" s="210">
        <f t="shared" si="7"/>
        <v>14329207.17</v>
      </c>
    </row>
    <row r="11" spans="1:89">
      <c r="A11" s="209"/>
      <c r="B11" s="209"/>
      <c r="C11" s="209"/>
      <c r="D11" s="209"/>
      <c r="E11" s="209"/>
      <c r="F11" s="209" t="s">
        <v>108</v>
      </c>
      <c r="G11" s="209"/>
      <c r="H11" s="210">
        <v>0</v>
      </c>
      <c r="I11" s="211"/>
      <c r="J11" s="210">
        <v>0</v>
      </c>
      <c r="K11" s="211"/>
      <c r="L11" s="210">
        <v>0</v>
      </c>
      <c r="M11" s="211"/>
      <c r="N11" s="210">
        <v>0</v>
      </c>
      <c r="O11" s="211"/>
      <c r="P11" s="210">
        <v>0</v>
      </c>
      <c r="Q11" s="211"/>
      <c r="R11" s="210">
        <v>0</v>
      </c>
      <c r="S11" s="211"/>
      <c r="T11" s="210">
        <f t="shared" si="0"/>
        <v>0</v>
      </c>
      <c r="U11" s="211"/>
      <c r="V11" s="210">
        <v>0</v>
      </c>
      <c r="W11" s="211"/>
      <c r="X11" s="210">
        <v>0</v>
      </c>
      <c r="Y11" s="211"/>
      <c r="Z11" s="210">
        <v>0</v>
      </c>
      <c r="AA11" s="211"/>
      <c r="AB11" s="210">
        <v>558750.74</v>
      </c>
      <c r="AC11" s="211"/>
      <c r="AD11" s="210">
        <v>0</v>
      </c>
      <c r="AE11" s="211"/>
      <c r="AF11" s="210">
        <v>416820.95</v>
      </c>
      <c r="AG11" s="211"/>
      <c r="AH11" s="210">
        <v>9552.5400000000009</v>
      </c>
      <c r="AI11" s="211"/>
      <c r="AJ11" s="210">
        <v>0</v>
      </c>
      <c r="AK11" s="211"/>
      <c r="AL11" s="210">
        <v>19575.37</v>
      </c>
      <c r="AM11" s="211"/>
      <c r="AN11" s="210">
        <f t="shared" si="1"/>
        <v>1004699.6</v>
      </c>
      <c r="AO11" s="211"/>
      <c r="AP11" s="210">
        <v>947690.62</v>
      </c>
      <c r="AQ11" s="211"/>
      <c r="AR11" s="210">
        <v>0</v>
      </c>
      <c r="AS11" s="211"/>
      <c r="AT11" s="210">
        <f t="shared" si="2"/>
        <v>947690.62</v>
      </c>
      <c r="AU11" s="211"/>
      <c r="AV11" s="210">
        <v>-6462.17</v>
      </c>
      <c r="AW11" s="211"/>
      <c r="AX11" s="210">
        <v>2024471.57</v>
      </c>
      <c r="AY11" s="211"/>
      <c r="AZ11" s="210">
        <v>1146291.01</v>
      </c>
      <c r="BA11" s="211"/>
      <c r="BB11" s="210">
        <v>11971544.99</v>
      </c>
      <c r="BC11" s="211"/>
      <c r="BD11" s="210">
        <v>13428.12</v>
      </c>
      <c r="BE11" s="211"/>
      <c r="BF11" s="210">
        <v>0</v>
      </c>
      <c r="BG11" s="211"/>
      <c r="BH11" s="210">
        <f t="shared" si="3"/>
        <v>15149273.52</v>
      </c>
      <c r="BI11" s="211"/>
      <c r="BJ11" s="210">
        <v>0</v>
      </c>
      <c r="BK11" s="211"/>
      <c r="BL11" s="210">
        <f t="shared" si="4"/>
        <v>0</v>
      </c>
      <c r="BM11" s="211"/>
      <c r="BN11" s="210">
        <v>1823937.26</v>
      </c>
      <c r="BO11" s="211"/>
      <c r="BP11" s="210">
        <v>1276406.4099999999</v>
      </c>
      <c r="BQ11" s="211"/>
      <c r="BR11" s="210">
        <f t="shared" si="5"/>
        <v>3100343.67</v>
      </c>
      <c r="BS11" s="211"/>
      <c r="BT11" s="210">
        <v>0</v>
      </c>
      <c r="BU11" s="211"/>
      <c r="BV11" s="210">
        <v>0</v>
      </c>
      <c r="BW11" s="211"/>
      <c r="BX11" s="210">
        <v>0</v>
      </c>
      <c r="BY11" s="211"/>
      <c r="BZ11" s="210">
        <v>0</v>
      </c>
      <c r="CA11" s="211"/>
      <c r="CB11" s="210">
        <v>0</v>
      </c>
      <c r="CC11" s="211"/>
      <c r="CD11" s="210">
        <f t="shared" si="6"/>
        <v>18249617.190000001</v>
      </c>
      <c r="CE11" s="211"/>
      <c r="CF11" s="210">
        <v>0</v>
      </c>
      <c r="CG11" s="211"/>
      <c r="CH11" s="210">
        <f t="shared" si="7"/>
        <v>20202007.41</v>
      </c>
      <c r="CI11" s="353">
        <f>CH11+CH12</f>
        <v>6584092.0700000003</v>
      </c>
      <c r="CK11" s="220"/>
    </row>
    <row r="12" spans="1:89">
      <c r="A12" s="209"/>
      <c r="B12" s="209"/>
      <c r="C12" s="209"/>
      <c r="D12" s="209"/>
      <c r="E12" s="209"/>
      <c r="F12" s="209" t="s">
        <v>109</v>
      </c>
      <c r="G12" s="209"/>
      <c r="H12" s="210">
        <v>0</v>
      </c>
      <c r="I12" s="211"/>
      <c r="J12" s="210">
        <v>0</v>
      </c>
      <c r="K12" s="211"/>
      <c r="L12" s="210">
        <v>0</v>
      </c>
      <c r="M12" s="211"/>
      <c r="N12" s="210">
        <v>0</v>
      </c>
      <c r="O12" s="211"/>
      <c r="P12" s="210">
        <v>0</v>
      </c>
      <c r="Q12" s="211"/>
      <c r="R12" s="210">
        <v>0</v>
      </c>
      <c r="S12" s="211"/>
      <c r="T12" s="210">
        <f t="shared" si="0"/>
        <v>0</v>
      </c>
      <c r="U12" s="211"/>
      <c r="V12" s="210">
        <v>0</v>
      </c>
      <c r="W12" s="211"/>
      <c r="X12" s="210">
        <v>0</v>
      </c>
      <c r="Y12" s="211"/>
      <c r="Z12" s="210">
        <v>0</v>
      </c>
      <c r="AA12" s="211"/>
      <c r="AB12" s="210">
        <v>-249163.94</v>
      </c>
      <c r="AC12" s="211"/>
      <c r="AD12" s="210">
        <v>0</v>
      </c>
      <c r="AE12" s="211"/>
      <c r="AF12" s="210">
        <v>-406780.71</v>
      </c>
      <c r="AG12" s="211"/>
      <c r="AH12" s="210">
        <v>-9206.94</v>
      </c>
      <c r="AI12" s="211"/>
      <c r="AJ12" s="210">
        <v>0</v>
      </c>
      <c r="AK12" s="211"/>
      <c r="AL12" s="210">
        <v>-18986.64</v>
      </c>
      <c r="AM12" s="211"/>
      <c r="AN12" s="210">
        <f t="shared" si="1"/>
        <v>-684138.23</v>
      </c>
      <c r="AO12" s="211"/>
      <c r="AP12" s="210">
        <v>-948906.5</v>
      </c>
      <c r="AQ12" s="211"/>
      <c r="AR12" s="210">
        <v>0</v>
      </c>
      <c r="AS12" s="211"/>
      <c r="AT12" s="210">
        <f t="shared" si="2"/>
        <v>-948906.5</v>
      </c>
      <c r="AU12" s="211"/>
      <c r="AV12" s="210">
        <v>-96226.21</v>
      </c>
      <c r="AW12" s="211"/>
      <c r="AX12" s="210">
        <v>-1988610.16</v>
      </c>
      <c r="AY12" s="211"/>
      <c r="AZ12" s="210">
        <v>-1145429.53</v>
      </c>
      <c r="BA12" s="211"/>
      <c r="BB12" s="210">
        <v>-7383743.4400000004</v>
      </c>
      <c r="BC12" s="211"/>
      <c r="BD12" s="210">
        <v>-36886.31</v>
      </c>
      <c r="BE12" s="211"/>
      <c r="BF12" s="210">
        <v>0</v>
      </c>
      <c r="BG12" s="211"/>
      <c r="BH12" s="210">
        <f t="shared" si="3"/>
        <v>-10650895.65</v>
      </c>
      <c r="BI12" s="211"/>
      <c r="BJ12" s="210">
        <v>0</v>
      </c>
      <c r="BK12" s="211"/>
      <c r="BL12" s="210">
        <f t="shared" si="4"/>
        <v>0</v>
      </c>
      <c r="BM12" s="211"/>
      <c r="BN12" s="210">
        <v>-1281623.5900000001</v>
      </c>
      <c r="BO12" s="211"/>
      <c r="BP12" s="210">
        <v>-52351.37</v>
      </c>
      <c r="BQ12" s="211"/>
      <c r="BR12" s="210">
        <f t="shared" si="5"/>
        <v>-1333974.96</v>
      </c>
      <c r="BS12" s="211"/>
      <c r="BT12" s="210">
        <v>0</v>
      </c>
      <c r="BU12" s="211"/>
      <c r="BV12" s="210">
        <v>0</v>
      </c>
      <c r="BW12" s="211"/>
      <c r="BX12" s="210">
        <v>0</v>
      </c>
      <c r="BY12" s="211"/>
      <c r="BZ12" s="210">
        <v>0</v>
      </c>
      <c r="CA12" s="211"/>
      <c r="CB12" s="210">
        <v>0</v>
      </c>
      <c r="CC12" s="211"/>
      <c r="CD12" s="210">
        <f t="shared" si="6"/>
        <v>-11984870.609999999</v>
      </c>
      <c r="CE12" s="211"/>
      <c r="CF12" s="210">
        <v>0</v>
      </c>
      <c r="CG12" s="211"/>
      <c r="CH12" s="210">
        <f t="shared" si="7"/>
        <v>-13617915.34</v>
      </c>
    </row>
    <row r="13" spans="1:89" ht="15" thickBot="1">
      <c r="A13" s="209"/>
      <c r="B13" s="209"/>
      <c r="C13" s="209"/>
      <c r="D13" s="209"/>
      <c r="E13" s="209"/>
      <c r="F13" s="209" t="s">
        <v>110</v>
      </c>
      <c r="G13" s="209"/>
      <c r="H13" s="213">
        <v>0</v>
      </c>
      <c r="I13" s="211"/>
      <c r="J13" s="213">
        <v>0</v>
      </c>
      <c r="K13" s="211"/>
      <c r="L13" s="213">
        <v>0</v>
      </c>
      <c r="M13" s="211"/>
      <c r="N13" s="213">
        <v>0</v>
      </c>
      <c r="O13" s="211"/>
      <c r="P13" s="213">
        <v>0</v>
      </c>
      <c r="Q13" s="211"/>
      <c r="R13" s="213">
        <v>0</v>
      </c>
      <c r="S13" s="211"/>
      <c r="T13" s="213">
        <f t="shared" si="0"/>
        <v>0</v>
      </c>
      <c r="U13" s="211"/>
      <c r="V13" s="213">
        <v>0</v>
      </c>
      <c r="W13" s="211"/>
      <c r="X13" s="213">
        <v>0</v>
      </c>
      <c r="Y13" s="211"/>
      <c r="Z13" s="213">
        <v>0</v>
      </c>
      <c r="AA13" s="211"/>
      <c r="AB13" s="213">
        <v>20585.91</v>
      </c>
      <c r="AC13" s="211"/>
      <c r="AD13" s="213">
        <v>0</v>
      </c>
      <c r="AE13" s="211"/>
      <c r="AF13" s="213">
        <v>17135.29</v>
      </c>
      <c r="AG13" s="211"/>
      <c r="AH13" s="213">
        <v>0</v>
      </c>
      <c r="AI13" s="211"/>
      <c r="AJ13" s="213">
        <v>0</v>
      </c>
      <c r="AK13" s="211"/>
      <c r="AL13" s="213">
        <v>0</v>
      </c>
      <c r="AM13" s="211"/>
      <c r="AN13" s="213">
        <f t="shared" si="1"/>
        <v>37721.199999999997</v>
      </c>
      <c r="AO13" s="211"/>
      <c r="AP13" s="213">
        <v>14956.22</v>
      </c>
      <c r="AQ13" s="211"/>
      <c r="AR13" s="213">
        <v>0</v>
      </c>
      <c r="AS13" s="211"/>
      <c r="AT13" s="213">
        <f t="shared" si="2"/>
        <v>14956.22</v>
      </c>
      <c r="AU13" s="211"/>
      <c r="AV13" s="213">
        <v>0</v>
      </c>
      <c r="AW13" s="211"/>
      <c r="AX13" s="213">
        <v>36862.800000000003</v>
      </c>
      <c r="AY13" s="211"/>
      <c r="AZ13" s="213">
        <v>3573.87</v>
      </c>
      <c r="BA13" s="211"/>
      <c r="BB13" s="213">
        <v>309687.76</v>
      </c>
      <c r="BC13" s="211"/>
      <c r="BD13" s="213">
        <v>0</v>
      </c>
      <c r="BE13" s="211"/>
      <c r="BF13" s="213">
        <v>0</v>
      </c>
      <c r="BG13" s="211"/>
      <c r="BH13" s="213">
        <f t="shared" si="3"/>
        <v>350124.43</v>
      </c>
      <c r="BI13" s="211"/>
      <c r="BJ13" s="213">
        <v>0</v>
      </c>
      <c r="BK13" s="211"/>
      <c r="BL13" s="213">
        <f t="shared" si="4"/>
        <v>0</v>
      </c>
      <c r="BM13" s="211"/>
      <c r="BN13" s="213">
        <v>46208.99</v>
      </c>
      <c r="BO13" s="211"/>
      <c r="BP13" s="213">
        <v>0</v>
      </c>
      <c r="BQ13" s="211"/>
      <c r="BR13" s="213">
        <f t="shared" si="5"/>
        <v>46208.99</v>
      </c>
      <c r="BS13" s="211"/>
      <c r="BT13" s="213">
        <v>0</v>
      </c>
      <c r="BU13" s="211"/>
      <c r="BV13" s="213">
        <v>0</v>
      </c>
      <c r="BW13" s="211"/>
      <c r="BX13" s="213">
        <v>0</v>
      </c>
      <c r="BY13" s="211"/>
      <c r="BZ13" s="213">
        <v>0</v>
      </c>
      <c r="CA13" s="211"/>
      <c r="CB13" s="213">
        <v>0</v>
      </c>
      <c r="CC13" s="211"/>
      <c r="CD13" s="213">
        <f t="shared" si="6"/>
        <v>396333.42</v>
      </c>
      <c r="CE13" s="211"/>
      <c r="CF13" s="213">
        <v>0</v>
      </c>
      <c r="CG13" s="211"/>
      <c r="CH13" s="213">
        <f t="shared" si="7"/>
        <v>449010.84</v>
      </c>
    </row>
    <row r="14" spans="1:89">
      <c r="A14" s="209"/>
      <c r="B14" s="209"/>
      <c r="C14" s="209"/>
      <c r="D14" s="209"/>
      <c r="E14" s="209" t="s">
        <v>111</v>
      </c>
      <c r="F14" s="209"/>
      <c r="G14" s="209"/>
      <c r="H14" s="210">
        <f>ROUND(SUM(H8:H13),5)</f>
        <v>0</v>
      </c>
      <c r="I14" s="211"/>
      <c r="J14" s="210">
        <f>ROUND(SUM(J8:J13),5)</f>
        <v>0</v>
      </c>
      <c r="K14" s="211"/>
      <c r="L14" s="210">
        <f>ROUND(SUM(L8:L13),5)</f>
        <v>0</v>
      </c>
      <c r="M14" s="211"/>
      <c r="N14" s="210">
        <f>ROUND(SUM(N8:N13),5)</f>
        <v>0</v>
      </c>
      <c r="O14" s="211"/>
      <c r="P14" s="210">
        <f>ROUND(SUM(P8:P13),5)</f>
        <v>0</v>
      </c>
      <c r="Q14" s="211"/>
      <c r="R14" s="210">
        <f>ROUND(SUM(R8:R13),5)</f>
        <v>0</v>
      </c>
      <c r="S14" s="211"/>
      <c r="T14" s="314">
        <f t="shared" si="0"/>
        <v>0</v>
      </c>
      <c r="U14" s="211"/>
      <c r="V14" s="210">
        <f>ROUND(SUM(V8:V13),5)</f>
        <v>0</v>
      </c>
      <c r="W14" s="211"/>
      <c r="X14" s="210">
        <f>ROUND(SUM(X8:X13),5)</f>
        <v>0</v>
      </c>
      <c r="Y14" s="211"/>
      <c r="Z14" s="210">
        <f>ROUND(SUM(Z8:Z13),5)</f>
        <v>8997.7800000000007</v>
      </c>
      <c r="AA14" s="211"/>
      <c r="AB14" s="210">
        <f>ROUND(SUM(AB8:AB13),5)</f>
        <v>579336.09</v>
      </c>
      <c r="AC14" s="211"/>
      <c r="AD14" s="210">
        <f>ROUND(SUM(AD8:AD13),5)</f>
        <v>0</v>
      </c>
      <c r="AE14" s="211"/>
      <c r="AF14" s="210">
        <f>ROUND(SUM(AF8:AF13),5)</f>
        <v>869100.03</v>
      </c>
      <c r="AG14" s="211"/>
      <c r="AH14" s="210">
        <f>ROUND(SUM(AH8:AH13),5)</f>
        <v>52238.11</v>
      </c>
      <c r="AI14" s="211"/>
      <c r="AJ14" s="210">
        <f>ROUND(SUM(AJ8:AJ13),5)</f>
        <v>0</v>
      </c>
      <c r="AK14" s="211"/>
      <c r="AL14" s="210">
        <f>ROUND(SUM(AL8:AL13),5)</f>
        <v>20657.8</v>
      </c>
      <c r="AM14" s="211"/>
      <c r="AN14" s="210">
        <f t="shared" si="1"/>
        <v>1530329.81</v>
      </c>
      <c r="AO14" s="211"/>
      <c r="AP14" s="210">
        <f>ROUND(SUM(AP8:AP13),5)</f>
        <v>962646.84</v>
      </c>
      <c r="AQ14" s="211"/>
      <c r="AR14" s="210">
        <f>ROUND(SUM(AR8:AR13),5)</f>
        <v>0</v>
      </c>
      <c r="AS14" s="211"/>
      <c r="AT14" s="210">
        <f t="shared" si="2"/>
        <v>962646.84</v>
      </c>
      <c r="AU14" s="211"/>
      <c r="AV14" s="210">
        <f>ROUND(SUM(AV8:AV13),5)</f>
        <v>-6383.89</v>
      </c>
      <c r="AW14" s="211"/>
      <c r="AX14" s="210">
        <f>ROUND(SUM(AX8:AX13),5)</f>
        <v>2060747.11</v>
      </c>
      <c r="AY14" s="211"/>
      <c r="AZ14" s="210">
        <f>ROUND(SUM(AZ8:AZ13),5)</f>
        <v>1149469.4099999999</v>
      </c>
      <c r="BA14" s="211"/>
      <c r="BB14" s="210">
        <f>ROUND(SUM(BB8:BB13),5)</f>
        <v>12273614.029999999</v>
      </c>
      <c r="BC14" s="211"/>
      <c r="BD14" s="210">
        <f>ROUND(SUM(BD8:BD13),5)</f>
        <v>246555.34</v>
      </c>
      <c r="BE14" s="211"/>
      <c r="BF14" s="210">
        <f>ROUND(SUM(BF8:BF13),5)</f>
        <v>0</v>
      </c>
      <c r="BG14" s="211"/>
      <c r="BH14" s="210">
        <f t="shared" si="3"/>
        <v>15724002</v>
      </c>
      <c r="BI14" s="211"/>
      <c r="BJ14" s="210">
        <f>ROUND(SUM(BJ8:BJ13),5)</f>
        <v>0</v>
      </c>
      <c r="BK14" s="211"/>
      <c r="BL14" s="210">
        <f t="shared" si="4"/>
        <v>0</v>
      </c>
      <c r="BM14" s="211"/>
      <c r="BN14" s="210">
        <f>ROUND(SUM(BN8:BN13),5)</f>
        <v>1870075.49</v>
      </c>
      <c r="BO14" s="211"/>
      <c r="BP14" s="210">
        <f>ROUND(SUM(BP8:BP13),5)</f>
        <v>1276338.29</v>
      </c>
      <c r="BQ14" s="211"/>
      <c r="BR14" s="210">
        <f t="shared" si="5"/>
        <v>3146413.78</v>
      </c>
      <c r="BS14" s="211"/>
      <c r="BT14" s="210">
        <f>ROUND(SUM(BT8:BT13),5)</f>
        <v>0</v>
      </c>
      <c r="BU14" s="211"/>
      <c r="BV14" s="210">
        <f>ROUND(SUM(BV8:BV13),5)</f>
        <v>0</v>
      </c>
      <c r="BW14" s="211"/>
      <c r="BX14" s="210">
        <f>ROUND(SUM(BX8:BX13),5)</f>
        <v>0</v>
      </c>
      <c r="BY14" s="211"/>
      <c r="BZ14" s="210">
        <f>ROUND(SUM(BZ8:BZ13),5)</f>
        <v>0</v>
      </c>
      <c r="CA14" s="211"/>
      <c r="CB14" s="210">
        <f>ROUND(SUM(CB8:CB13),5)</f>
        <v>0</v>
      </c>
      <c r="CC14" s="211"/>
      <c r="CD14" s="210">
        <f t="shared" si="6"/>
        <v>18870415.780000001</v>
      </c>
      <c r="CE14" s="211"/>
      <c r="CF14" s="210">
        <f>ROUND(SUM(CF8:CF13),5)</f>
        <v>0</v>
      </c>
      <c r="CG14" s="211"/>
      <c r="CH14" s="210">
        <f t="shared" si="7"/>
        <v>21363392.43</v>
      </c>
      <c r="CI14" s="212" t="s">
        <v>581</v>
      </c>
    </row>
    <row r="15" spans="1:89">
      <c r="A15" s="209"/>
      <c r="B15" s="209"/>
      <c r="C15" s="209"/>
      <c r="D15" s="209"/>
      <c r="E15" s="209" t="s">
        <v>76</v>
      </c>
      <c r="F15" s="209"/>
      <c r="G15" s="209"/>
      <c r="H15" s="210"/>
      <c r="I15" s="211"/>
      <c r="J15" s="210"/>
      <c r="K15" s="211"/>
      <c r="L15" s="210"/>
      <c r="M15" s="211"/>
      <c r="N15" s="210"/>
      <c r="O15" s="211"/>
      <c r="P15" s="210"/>
      <c r="Q15" s="211"/>
      <c r="R15" s="210"/>
      <c r="S15" s="211"/>
      <c r="T15" s="210"/>
      <c r="U15" s="211"/>
      <c r="V15" s="210"/>
      <c r="W15" s="211"/>
      <c r="X15" s="210"/>
      <c r="Y15" s="211"/>
      <c r="Z15" s="210"/>
      <c r="AA15" s="211"/>
      <c r="AB15" s="210"/>
      <c r="AC15" s="211"/>
      <c r="AD15" s="210"/>
      <c r="AE15" s="211"/>
      <c r="AF15" s="210"/>
      <c r="AG15" s="211"/>
      <c r="AH15" s="210"/>
      <c r="AI15" s="211"/>
      <c r="AJ15" s="210"/>
      <c r="AK15" s="211"/>
      <c r="AL15" s="210"/>
      <c r="AM15" s="211"/>
      <c r="AN15" s="210"/>
      <c r="AO15" s="211"/>
      <c r="AP15" s="210"/>
      <c r="AQ15" s="211"/>
      <c r="AR15" s="210"/>
      <c r="AS15" s="211"/>
      <c r="AT15" s="210"/>
      <c r="AU15" s="211"/>
      <c r="AV15" s="210"/>
      <c r="AW15" s="211"/>
      <c r="AX15" s="210"/>
      <c r="AY15" s="211"/>
      <c r="AZ15" s="210"/>
      <c r="BA15" s="211"/>
      <c r="BB15" s="210"/>
      <c r="BC15" s="211"/>
      <c r="BD15" s="210"/>
      <c r="BE15" s="211"/>
      <c r="BF15" s="210"/>
      <c r="BG15" s="211"/>
      <c r="BH15" s="210"/>
      <c r="BI15" s="211"/>
      <c r="BJ15" s="210"/>
      <c r="BK15" s="211"/>
      <c r="BL15" s="210"/>
      <c r="BM15" s="211"/>
      <c r="BN15" s="210"/>
      <c r="BO15" s="211"/>
      <c r="BP15" s="210"/>
      <c r="BQ15" s="211"/>
      <c r="BR15" s="210"/>
      <c r="BS15" s="211"/>
      <c r="BT15" s="210"/>
      <c r="BU15" s="211"/>
      <c r="BV15" s="210"/>
      <c r="BW15" s="211"/>
      <c r="BX15" s="210"/>
      <c r="BY15" s="211"/>
      <c r="BZ15" s="210"/>
      <c r="CA15" s="211"/>
      <c r="CB15" s="210"/>
      <c r="CC15" s="211"/>
      <c r="CD15" s="210"/>
      <c r="CE15" s="211"/>
      <c r="CF15" s="210"/>
      <c r="CG15" s="211"/>
      <c r="CH15" s="210"/>
    </row>
    <row r="16" spans="1:89">
      <c r="A16" s="209"/>
      <c r="B16" s="209"/>
      <c r="C16" s="209"/>
      <c r="D16" s="209"/>
      <c r="E16" s="209"/>
      <c r="F16" s="209" t="s">
        <v>381</v>
      </c>
      <c r="G16" s="209"/>
      <c r="H16" s="210">
        <v>0</v>
      </c>
      <c r="I16" s="211"/>
      <c r="J16" s="210">
        <v>0</v>
      </c>
      <c r="K16" s="211"/>
      <c r="L16" s="210">
        <v>0</v>
      </c>
      <c r="M16" s="211"/>
      <c r="N16" s="210">
        <v>0</v>
      </c>
      <c r="O16" s="211"/>
      <c r="P16" s="210">
        <v>0</v>
      </c>
      <c r="Q16" s="211"/>
      <c r="R16" s="210">
        <v>0</v>
      </c>
      <c r="S16" s="211"/>
      <c r="T16" s="210">
        <f t="shared" ref="T16:T22" si="8">ROUND(SUM(P16:R16),5)</f>
        <v>0</v>
      </c>
      <c r="U16" s="211"/>
      <c r="V16" s="210">
        <v>0</v>
      </c>
      <c r="W16" s="211"/>
      <c r="X16" s="210">
        <v>0</v>
      </c>
      <c r="Y16" s="211"/>
      <c r="Z16" s="210">
        <v>0</v>
      </c>
      <c r="AA16" s="211"/>
      <c r="AB16" s="210">
        <v>0</v>
      </c>
      <c r="AC16" s="211"/>
      <c r="AD16" s="210">
        <v>0</v>
      </c>
      <c r="AE16" s="211"/>
      <c r="AF16" s="210">
        <v>0</v>
      </c>
      <c r="AG16" s="211"/>
      <c r="AH16" s="210">
        <v>0</v>
      </c>
      <c r="AI16" s="211"/>
      <c r="AJ16" s="210">
        <v>0</v>
      </c>
      <c r="AK16" s="211"/>
      <c r="AL16" s="210">
        <v>0</v>
      </c>
      <c r="AM16" s="211"/>
      <c r="AN16" s="210">
        <f t="shared" ref="AN16:AN22" si="9">ROUND(SUM(X16:AL16),5)</f>
        <v>0</v>
      </c>
      <c r="AO16" s="211"/>
      <c r="AP16" s="210">
        <v>0</v>
      </c>
      <c r="AQ16" s="211"/>
      <c r="AR16" s="210">
        <v>0</v>
      </c>
      <c r="AS16" s="211"/>
      <c r="AT16" s="210">
        <f t="shared" ref="AT16:AT22" si="10">ROUND(SUM(AP16:AR16),5)</f>
        <v>0</v>
      </c>
      <c r="AU16" s="211"/>
      <c r="AV16" s="210">
        <v>0</v>
      </c>
      <c r="AW16" s="211"/>
      <c r="AX16" s="210">
        <v>0</v>
      </c>
      <c r="AY16" s="211"/>
      <c r="AZ16" s="210">
        <v>0</v>
      </c>
      <c r="BA16" s="211"/>
      <c r="BB16" s="210">
        <v>0</v>
      </c>
      <c r="BC16" s="211"/>
      <c r="BD16" s="210">
        <v>0</v>
      </c>
      <c r="BE16" s="211"/>
      <c r="BF16" s="210">
        <v>0</v>
      </c>
      <c r="BG16" s="211"/>
      <c r="BH16" s="210">
        <f t="shared" ref="BH16:BH22" si="11">ROUND(SUM(AV16:BF16),5)</f>
        <v>0</v>
      </c>
      <c r="BI16" s="211"/>
      <c r="BJ16" s="210">
        <v>0</v>
      </c>
      <c r="BK16" s="211"/>
      <c r="BL16" s="210">
        <f t="shared" ref="BL16:BL22" si="12">BJ16</f>
        <v>0</v>
      </c>
      <c r="BM16" s="211"/>
      <c r="BN16" s="210">
        <v>1979.16</v>
      </c>
      <c r="BO16" s="211"/>
      <c r="BP16" s="210">
        <v>0</v>
      </c>
      <c r="BQ16" s="211"/>
      <c r="BR16" s="210">
        <f t="shared" ref="BR16:BR22" si="13">ROUND(SUM(BN16:BP16),5)</f>
        <v>1979.16</v>
      </c>
      <c r="BS16" s="211"/>
      <c r="BT16" s="210">
        <v>0</v>
      </c>
      <c r="BU16" s="211"/>
      <c r="BV16" s="210">
        <v>0</v>
      </c>
      <c r="BW16" s="211"/>
      <c r="BX16" s="210">
        <v>0</v>
      </c>
      <c r="BY16" s="211"/>
      <c r="BZ16" s="210">
        <v>0</v>
      </c>
      <c r="CA16" s="211"/>
      <c r="CB16" s="210">
        <v>0</v>
      </c>
      <c r="CC16" s="211"/>
      <c r="CD16" s="210">
        <f t="shared" ref="CD16:CD22" si="14">ROUND(BH16+BL16+SUM(BR16:CB16),5)</f>
        <v>1979.16</v>
      </c>
      <c r="CE16" s="211"/>
      <c r="CF16" s="210">
        <v>0</v>
      </c>
      <c r="CG16" s="211"/>
      <c r="CH16" s="210">
        <f t="shared" ref="CH16:CH22" si="15">ROUND(SUM(H16:N16)+SUM(T16:V16)+AN16+AT16+SUM(CD16:CF16),5)</f>
        <v>1979.16</v>
      </c>
    </row>
    <row r="17" spans="1:86">
      <c r="A17" s="209"/>
      <c r="B17" s="209"/>
      <c r="C17" s="209"/>
      <c r="D17" s="209"/>
      <c r="E17" s="209"/>
      <c r="F17" s="209" t="s">
        <v>382</v>
      </c>
      <c r="G17" s="209"/>
      <c r="H17" s="210">
        <v>0</v>
      </c>
      <c r="I17" s="211"/>
      <c r="J17" s="210">
        <v>0</v>
      </c>
      <c r="K17" s="211"/>
      <c r="L17" s="210">
        <v>0</v>
      </c>
      <c r="M17" s="211"/>
      <c r="N17" s="210">
        <v>0</v>
      </c>
      <c r="O17" s="211"/>
      <c r="P17" s="210">
        <v>0</v>
      </c>
      <c r="Q17" s="211"/>
      <c r="R17" s="210">
        <v>0</v>
      </c>
      <c r="S17" s="211"/>
      <c r="T17" s="210">
        <f t="shared" si="8"/>
        <v>0</v>
      </c>
      <c r="U17" s="211"/>
      <c r="V17" s="210">
        <v>0</v>
      </c>
      <c r="W17" s="211"/>
      <c r="X17" s="210">
        <v>0</v>
      </c>
      <c r="Y17" s="211"/>
      <c r="Z17" s="210">
        <v>0</v>
      </c>
      <c r="AA17" s="211"/>
      <c r="AB17" s="210">
        <v>195.27</v>
      </c>
      <c r="AC17" s="211"/>
      <c r="AD17" s="210">
        <v>11.86</v>
      </c>
      <c r="AE17" s="211"/>
      <c r="AF17" s="210">
        <v>0</v>
      </c>
      <c r="AG17" s="211"/>
      <c r="AH17" s="210">
        <v>0</v>
      </c>
      <c r="AI17" s="211"/>
      <c r="AJ17" s="210">
        <v>0</v>
      </c>
      <c r="AK17" s="211"/>
      <c r="AL17" s="210">
        <v>88</v>
      </c>
      <c r="AM17" s="211"/>
      <c r="AN17" s="210">
        <f t="shared" si="9"/>
        <v>295.13</v>
      </c>
      <c r="AO17" s="211"/>
      <c r="AP17" s="210">
        <v>74.89</v>
      </c>
      <c r="AQ17" s="211"/>
      <c r="AR17" s="210">
        <v>0</v>
      </c>
      <c r="AS17" s="211"/>
      <c r="AT17" s="210">
        <f t="shared" si="10"/>
        <v>74.89</v>
      </c>
      <c r="AU17" s="211"/>
      <c r="AV17" s="210">
        <v>0</v>
      </c>
      <c r="AW17" s="211"/>
      <c r="AX17" s="210">
        <v>33.67</v>
      </c>
      <c r="AY17" s="211"/>
      <c r="AZ17" s="210">
        <v>28.72</v>
      </c>
      <c r="BA17" s="211"/>
      <c r="BB17" s="210">
        <v>28293.37</v>
      </c>
      <c r="BC17" s="211"/>
      <c r="BD17" s="210">
        <v>0</v>
      </c>
      <c r="BE17" s="211"/>
      <c r="BF17" s="210">
        <v>0</v>
      </c>
      <c r="BG17" s="211"/>
      <c r="BH17" s="210">
        <f t="shared" si="11"/>
        <v>28355.759999999998</v>
      </c>
      <c r="BI17" s="211"/>
      <c r="BJ17" s="210">
        <v>45.5</v>
      </c>
      <c r="BK17" s="211"/>
      <c r="BL17" s="210">
        <f t="shared" si="12"/>
        <v>45.5</v>
      </c>
      <c r="BM17" s="211"/>
      <c r="BN17" s="210">
        <v>489.18</v>
      </c>
      <c r="BO17" s="211"/>
      <c r="BP17" s="210">
        <v>-643.08000000000004</v>
      </c>
      <c r="BQ17" s="211"/>
      <c r="BR17" s="210">
        <f t="shared" si="13"/>
        <v>-153.9</v>
      </c>
      <c r="BS17" s="211"/>
      <c r="BT17" s="210">
        <v>0</v>
      </c>
      <c r="BU17" s="211"/>
      <c r="BV17" s="210">
        <v>0</v>
      </c>
      <c r="BW17" s="211"/>
      <c r="BX17" s="210">
        <v>0</v>
      </c>
      <c r="BY17" s="211"/>
      <c r="BZ17" s="210">
        <v>0</v>
      </c>
      <c r="CA17" s="211"/>
      <c r="CB17" s="210">
        <v>0</v>
      </c>
      <c r="CC17" s="211"/>
      <c r="CD17" s="210">
        <f t="shared" si="14"/>
        <v>28247.360000000001</v>
      </c>
      <c r="CE17" s="211"/>
      <c r="CF17" s="210">
        <v>125877</v>
      </c>
      <c r="CG17" s="211"/>
      <c r="CH17" s="210">
        <f t="shared" si="15"/>
        <v>154494.38</v>
      </c>
    </row>
    <row r="18" spans="1:86">
      <c r="A18" s="209"/>
      <c r="B18" s="209"/>
      <c r="C18" s="209"/>
      <c r="D18" s="209"/>
      <c r="E18" s="209"/>
      <c r="F18" s="209" t="s">
        <v>113</v>
      </c>
      <c r="G18" s="209"/>
      <c r="H18" s="210">
        <v>0</v>
      </c>
      <c r="I18" s="211"/>
      <c r="J18" s="210">
        <v>0</v>
      </c>
      <c r="K18" s="211"/>
      <c r="L18" s="210">
        <v>0</v>
      </c>
      <c r="M18" s="211"/>
      <c r="N18" s="210">
        <v>0</v>
      </c>
      <c r="O18" s="211"/>
      <c r="P18" s="210">
        <v>0</v>
      </c>
      <c r="Q18" s="211"/>
      <c r="R18" s="210">
        <v>0</v>
      </c>
      <c r="S18" s="211"/>
      <c r="T18" s="210">
        <f t="shared" si="8"/>
        <v>0</v>
      </c>
      <c r="U18" s="211"/>
      <c r="V18" s="210">
        <v>0</v>
      </c>
      <c r="W18" s="211"/>
      <c r="X18" s="210">
        <v>0</v>
      </c>
      <c r="Y18" s="211"/>
      <c r="Z18" s="210">
        <v>0</v>
      </c>
      <c r="AA18" s="211"/>
      <c r="AB18" s="210">
        <v>353.44</v>
      </c>
      <c r="AC18" s="211"/>
      <c r="AD18" s="210">
        <v>0</v>
      </c>
      <c r="AE18" s="211"/>
      <c r="AF18" s="210">
        <v>6993.49</v>
      </c>
      <c r="AG18" s="211"/>
      <c r="AH18" s="210">
        <v>1916.14</v>
      </c>
      <c r="AI18" s="211"/>
      <c r="AJ18" s="210">
        <v>0</v>
      </c>
      <c r="AK18" s="211"/>
      <c r="AL18" s="210">
        <v>78.02</v>
      </c>
      <c r="AM18" s="211"/>
      <c r="AN18" s="210">
        <f t="shared" si="9"/>
        <v>9341.09</v>
      </c>
      <c r="AO18" s="211"/>
      <c r="AP18" s="210">
        <v>12599.79</v>
      </c>
      <c r="AQ18" s="211"/>
      <c r="AR18" s="210">
        <v>0</v>
      </c>
      <c r="AS18" s="211"/>
      <c r="AT18" s="210">
        <f t="shared" si="10"/>
        <v>12599.79</v>
      </c>
      <c r="AU18" s="211"/>
      <c r="AV18" s="210">
        <v>618.84</v>
      </c>
      <c r="AW18" s="211"/>
      <c r="AX18" s="210">
        <v>17228.349999999999</v>
      </c>
      <c r="AY18" s="211"/>
      <c r="AZ18" s="210">
        <v>1417.79</v>
      </c>
      <c r="BA18" s="211"/>
      <c r="BB18" s="210">
        <v>9177.27</v>
      </c>
      <c r="BC18" s="211"/>
      <c r="BD18" s="210">
        <v>1983.41</v>
      </c>
      <c r="BE18" s="211"/>
      <c r="BF18" s="210">
        <v>0</v>
      </c>
      <c r="BG18" s="211"/>
      <c r="BH18" s="210">
        <f t="shared" si="11"/>
        <v>30425.66</v>
      </c>
      <c r="BI18" s="211"/>
      <c r="BJ18" s="210">
        <v>0</v>
      </c>
      <c r="BK18" s="211"/>
      <c r="BL18" s="210">
        <f t="shared" si="12"/>
        <v>0</v>
      </c>
      <c r="BM18" s="211"/>
      <c r="BN18" s="210">
        <v>8920.0300000000007</v>
      </c>
      <c r="BO18" s="211"/>
      <c r="BP18" s="210">
        <v>142.22</v>
      </c>
      <c r="BQ18" s="211"/>
      <c r="BR18" s="210">
        <f t="shared" si="13"/>
        <v>9062.25</v>
      </c>
      <c r="BS18" s="211"/>
      <c r="BT18" s="210">
        <v>0</v>
      </c>
      <c r="BU18" s="211"/>
      <c r="BV18" s="210">
        <v>0</v>
      </c>
      <c r="BW18" s="211"/>
      <c r="BX18" s="210">
        <v>0</v>
      </c>
      <c r="BY18" s="211"/>
      <c r="BZ18" s="210">
        <v>0</v>
      </c>
      <c r="CA18" s="211"/>
      <c r="CB18" s="210">
        <v>0</v>
      </c>
      <c r="CC18" s="211"/>
      <c r="CD18" s="210">
        <f t="shared" si="14"/>
        <v>39487.910000000003</v>
      </c>
      <c r="CE18" s="211"/>
      <c r="CF18" s="210">
        <v>0</v>
      </c>
      <c r="CG18" s="211"/>
      <c r="CH18" s="210">
        <f t="shared" si="15"/>
        <v>61428.79</v>
      </c>
    </row>
    <row r="19" spans="1:86">
      <c r="A19" s="209"/>
      <c r="B19" s="209"/>
      <c r="C19" s="209"/>
      <c r="D19" s="209"/>
      <c r="E19" s="209"/>
      <c r="F19" s="209" t="s">
        <v>112</v>
      </c>
      <c r="G19" s="209"/>
      <c r="H19" s="210">
        <v>0</v>
      </c>
      <c r="I19" s="211"/>
      <c r="J19" s="210">
        <v>0</v>
      </c>
      <c r="K19" s="211"/>
      <c r="L19" s="210">
        <v>0</v>
      </c>
      <c r="M19" s="211"/>
      <c r="N19" s="210">
        <v>0</v>
      </c>
      <c r="O19" s="211"/>
      <c r="P19" s="210">
        <v>0</v>
      </c>
      <c r="Q19" s="211"/>
      <c r="R19" s="210">
        <v>0</v>
      </c>
      <c r="S19" s="211"/>
      <c r="T19" s="210">
        <f t="shared" si="8"/>
        <v>0</v>
      </c>
      <c r="U19" s="211"/>
      <c r="V19" s="210">
        <v>0</v>
      </c>
      <c r="W19" s="211"/>
      <c r="X19" s="210">
        <v>0</v>
      </c>
      <c r="Y19" s="211"/>
      <c r="Z19" s="210">
        <v>0</v>
      </c>
      <c r="AA19" s="211"/>
      <c r="AB19" s="210">
        <v>1690.57</v>
      </c>
      <c r="AC19" s="211"/>
      <c r="AD19" s="210">
        <v>0</v>
      </c>
      <c r="AE19" s="211"/>
      <c r="AF19" s="210">
        <v>272.55</v>
      </c>
      <c r="AG19" s="211"/>
      <c r="AH19" s="210">
        <v>2.2599999999999998</v>
      </c>
      <c r="AI19" s="211"/>
      <c r="AJ19" s="210">
        <v>0</v>
      </c>
      <c r="AK19" s="211"/>
      <c r="AL19" s="210">
        <v>370.55</v>
      </c>
      <c r="AM19" s="211"/>
      <c r="AN19" s="210">
        <f t="shared" si="9"/>
        <v>2335.9299999999998</v>
      </c>
      <c r="AO19" s="211"/>
      <c r="AP19" s="210">
        <v>0</v>
      </c>
      <c r="AQ19" s="211"/>
      <c r="AR19" s="210">
        <v>0</v>
      </c>
      <c r="AS19" s="211"/>
      <c r="AT19" s="210">
        <f t="shared" si="10"/>
        <v>0</v>
      </c>
      <c r="AU19" s="211"/>
      <c r="AV19" s="210">
        <v>0</v>
      </c>
      <c r="AW19" s="211"/>
      <c r="AX19" s="210">
        <v>11432.59</v>
      </c>
      <c r="AY19" s="211"/>
      <c r="AZ19" s="210">
        <v>14047.74</v>
      </c>
      <c r="BA19" s="211"/>
      <c r="BB19" s="210">
        <v>67224.539999999994</v>
      </c>
      <c r="BC19" s="211"/>
      <c r="BD19" s="210">
        <v>5.41</v>
      </c>
      <c r="BE19" s="211"/>
      <c r="BF19" s="210">
        <v>0</v>
      </c>
      <c r="BG19" s="211"/>
      <c r="BH19" s="210">
        <f t="shared" si="11"/>
        <v>92710.28</v>
      </c>
      <c r="BI19" s="211"/>
      <c r="BJ19" s="210">
        <v>0</v>
      </c>
      <c r="BK19" s="211"/>
      <c r="BL19" s="210">
        <f t="shared" si="12"/>
        <v>0</v>
      </c>
      <c r="BM19" s="211"/>
      <c r="BN19" s="210">
        <v>9063.74</v>
      </c>
      <c r="BO19" s="211"/>
      <c r="BP19" s="210">
        <v>0</v>
      </c>
      <c r="BQ19" s="211"/>
      <c r="BR19" s="210">
        <f t="shared" si="13"/>
        <v>9063.74</v>
      </c>
      <c r="BS19" s="211"/>
      <c r="BT19" s="210">
        <v>0</v>
      </c>
      <c r="BU19" s="211"/>
      <c r="BV19" s="210">
        <v>0</v>
      </c>
      <c r="BW19" s="211"/>
      <c r="BX19" s="210">
        <v>0</v>
      </c>
      <c r="BY19" s="211"/>
      <c r="BZ19" s="210">
        <v>0</v>
      </c>
      <c r="CA19" s="211"/>
      <c r="CB19" s="210">
        <v>0</v>
      </c>
      <c r="CC19" s="211"/>
      <c r="CD19" s="210">
        <f t="shared" si="14"/>
        <v>101774.02</v>
      </c>
      <c r="CE19" s="211"/>
      <c r="CF19" s="210">
        <v>0</v>
      </c>
      <c r="CG19" s="211"/>
      <c r="CH19" s="210">
        <f t="shared" si="15"/>
        <v>104109.95</v>
      </c>
    </row>
    <row r="20" spans="1:86">
      <c r="A20" s="209"/>
      <c r="B20" s="209"/>
      <c r="C20" s="209"/>
      <c r="D20" s="209"/>
      <c r="E20" s="209"/>
      <c r="F20" s="209" t="s">
        <v>114</v>
      </c>
      <c r="G20" s="209"/>
      <c r="H20" s="210">
        <v>0</v>
      </c>
      <c r="I20" s="211"/>
      <c r="J20" s="210">
        <v>0</v>
      </c>
      <c r="K20" s="211"/>
      <c r="L20" s="210">
        <v>0</v>
      </c>
      <c r="M20" s="211"/>
      <c r="N20" s="210">
        <v>0</v>
      </c>
      <c r="O20" s="211"/>
      <c r="P20" s="210">
        <v>0</v>
      </c>
      <c r="Q20" s="211"/>
      <c r="R20" s="210">
        <v>0</v>
      </c>
      <c r="S20" s="211"/>
      <c r="T20" s="210">
        <f t="shared" si="8"/>
        <v>0</v>
      </c>
      <c r="U20" s="211"/>
      <c r="V20" s="210">
        <v>0</v>
      </c>
      <c r="W20" s="211"/>
      <c r="X20" s="210">
        <v>0</v>
      </c>
      <c r="Y20" s="211"/>
      <c r="Z20" s="210">
        <v>0</v>
      </c>
      <c r="AA20" s="211"/>
      <c r="AB20" s="210">
        <v>4406.3900000000003</v>
      </c>
      <c r="AC20" s="211"/>
      <c r="AD20" s="210">
        <v>0</v>
      </c>
      <c r="AE20" s="211"/>
      <c r="AF20" s="210">
        <v>3597.11</v>
      </c>
      <c r="AG20" s="211"/>
      <c r="AH20" s="210">
        <v>168.64</v>
      </c>
      <c r="AI20" s="211"/>
      <c r="AJ20" s="210">
        <v>0</v>
      </c>
      <c r="AK20" s="211"/>
      <c r="AL20" s="210">
        <v>463.73</v>
      </c>
      <c r="AM20" s="211"/>
      <c r="AN20" s="210">
        <f t="shared" si="9"/>
        <v>8635.8700000000008</v>
      </c>
      <c r="AO20" s="211"/>
      <c r="AP20" s="210">
        <v>12415.51</v>
      </c>
      <c r="AQ20" s="211"/>
      <c r="AR20" s="210">
        <v>0</v>
      </c>
      <c r="AS20" s="211"/>
      <c r="AT20" s="210">
        <f t="shared" si="10"/>
        <v>12415.51</v>
      </c>
      <c r="AU20" s="211"/>
      <c r="AV20" s="210">
        <v>-2567.44</v>
      </c>
      <c r="AW20" s="211"/>
      <c r="AX20" s="210">
        <v>29331.87</v>
      </c>
      <c r="AY20" s="211"/>
      <c r="AZ20" s="210">
        <v>15937.39</v>
      </c>
      <c r="BA20" s="211"/>
      <c r="BB20" s="210">
        <v>112989.28</v>
      </c>
      <c r="BC20" s="211"/>
      <c r="BD20" s="210">
        <v>136.33000000000001</v>
      </c>
      <c r="BE20" s="211"/>
      <c r="BF20" s="210">
        <v>0</v>
      </c>
      <c r="BG20" s="211"/>
      <c r="BH20" s="210">
        <f t="shared" si="11"/>
        <v>155827.43</v>
      </c>
      <c r="BI20" s="211"/>
      <c r="BJ20" s="210">
        <v>0</v>
      </c>
      <c r="BK20" s="211"/>
      <c r="BL20" s="210">
        <f t="shared" si="12"/>
        <v>0</v>
      </c>
      <c r="BM20" s="211"/>
      <c r="BN20" s="210">
        <v>27402.34</v>
      </c>
      <c r="BO20" s="211"/>
      <c r="BP20" s="210">
        <v>3677.31</v>
      </c>
      <c r="BQ20" s="211"/>
      <c r="BR20" s="210">
        <f t="shared" si="13"/>
        <v>31079.65</v>
      </c>
      <c r="BS20" s="211"/>
      <c r="BT20" s="210">
        <v>0</v>
      </c>
      <c r="BU20" s="211"/>
      <c r="BV20" s="210">
        <v>0</v>
      </c>
      <c r="BW20" s="211"/>
      <c r="BX20" s="210">
        <v>0</v>
      </c>
      <c r="BY20" s="211"/>
      <c r="BZ20" s="210">
        <v>0</v>
      </c>
      <c r="CA20" s="211"/>
      <c r="CB20" s="210">
        <v>0</v>
      </c>
      <c r="CC20" s="211"/>
      <c r="CD20" s="210">
        <f t="shared" si="14"/>
        <v>186907.08</v>
      </c>
      <c r="CE20" s="211"/>
      <c r="CF20" s="210">
        <v>0</v>
      </c>
      <c r="CG20" s="211"/>
      <c r="CH20" s="210">
        <f t="shared" si="15"/>
        <v>207958.46</v>
      </c>
    </row>
    <row r="21" spans="1:86" ht="15" thickBot="1">
      <c r="A21" s="209"/>
      <c r="B21" s="209"/>
      <c r="C21" s="209"/>
      <c r="D21" s="209"/>
      <c r="E21" s="209"/>
      <c r="F21" s="209" t="s">
        <v>115</v>
      </c>
      <c r="G21" s="209"/>
      <c r="H21" s="213">
        <v>0</v>
      </c>
      <c r="I21" s="211"/>
      <c r="J21" s="213">
        <v>0</v>
      </c>
      <c r="K21" s="211"/>
      <c r="L21" s="213">
        <v>0</v>
      </c>
      <c r="M21" s="211"/>
      <c r="N21" s="213">
        <v>0</v>
      </c>
      <c r="O21" s="211"/>
      <c r="P21" s="213">
        <v>0</v>
      </c>
      <c r="Q21" s="211"/>
      <c r="R21" s="213">
        <v>0</v>
      </c>
      <c r="S21" s="211"/>
      <c r="T21" s="213">
        <f t="shared" si="8"/>
        <v>0</v>
      </c>
      <c r="U21" s="211"/>
      <c r="V21" s="213">
        <v>0</v>
      </c>
      <c r="W21" s="211"/>
      <c r="X21" s="213">
        <v>0</v>
      </c>
      <c r="Y21" s="211"/>
      <c r="Z21" s="213">
        <v>0</v>
      </c>
      <c r="AA21" s="211"/>
      <c r="AB21" s="213">
        <v>-2043.69</v>
      </c>
      <c r="AC21" s="211"/>
      <c r="AD21" s="213">
        <v>0</v>
      </c>
      <c r="AE21" s="211"/>
      <c r="AF21" s="213">
        <v>-3427.35</v>
      </c>
      <c r="AG21" s="211"/>
      <c r="AH21" s="213">
        <v>-163.21</v>
      </c>
      <c r="AI21" s="211"/>
      <c r="AJ21" s="213">
        <v>0</v>
      </c>
      <c r="AK21" s="211"/>
      <c r="AL21" s="213">
        <v>-449.5</v>
      </c>
      <c r="AM21" s="211"/>
      <c r="AN21" s="213">
        <f t="shared" si="9"/>
        <v>-6083.75</v>
      </c>
      <c r="AO21" s="211"/>
      <c r="AP21" s="213">
        <v>-12599.12</v>
      </c>
      <c r="AQ21" s="211"/>
      <c r="AR21" s="213">
        <v>0</v>
      </c>
      <c r="AS21" s="211"/>
      <c r="AT21" s="213">
        <f t="shared" si="10"/>
        <v>-12599.12</v>
      </c>
      <c r="AU21" s="211"/>
      <c r="AV21" s="213">
        <v>-618.75</v>
      </c>
      <c r="AW21" s="211"/>
      <c r="AX21" s="213">
        <v>-28660.37</v>
      </c>
      <c r="AY21" s="211"/>
      <c r="AZ21" s="213">
        <v>-15469.16</v>
      </c>
      <c r="BA21" s="211"/>
      <c r="BB21" s="213">
        <v>-76301.960000000006</v>
      </c>
      <c r="BC21" s="211"/>
      <c r="BD21" s="213">
        <v>-869.63</v>
      </c>
      <c r="BE21" s="211"/>
      <c r="BF21" s="213">
        <v>0</v>
      </c>
      <c r="BG21" s="211"/>
      <c r="BH21" s="213">
        <f t="shared" si="11"/>
        <v>-121919.87</v>
      </c>
      <c r="BI21" s="211"/>
      <c r="BJ21" s="213">
        <v>0</v>
      </c>
      <c r="BK21" s="211"/>
      <c r="BL21" s="213">
        <f t="shared" si="12"/>
        <v>0</v>
      </c>
      <c r="BM21" s="211"/>
      <c r="BN21" s="213">
        <v>-18212.03</v>
      </c>
      <c r="BO21" s="211"/>
      <c r="BP21" s="213">
        <v>-171.04</v>
      </c>
      <c r="BQ21" s="211"/>
      <c r="BR21" s="213">
        <f t="shared" si="13"/>
        <v>-18383.07</v>
      </c>
      <c r="BS21" s="211"/>
      <c r="BT21" s="213">
        <v>0</v>
      </c>
      <c r="BU21" s="211"/>
      <c r="BV21" s="213">
        <v>0</v>
      </c>
      <c r="BW21" s="211"/>
      <c r="BX21" s="213">
        <v>0</v>
      </c>
      <c r="BY21" s="211"/>
      <c r="BZ21" s="213">
        <v>0</v>
      </c>
      <c r="CA21" s="211"/>
      <c r="CB21" s="213">
        <v>0</v>
      </c>
      <c r="CC21" s="211"/>
      <c r="CD21" s="213">
        <f t="shared" si="14"/>
        <v>-140302.94</v>
      </c>
      <c r="CE21" s="211"/>
      <c r="CF21" s="213">
        <v>0</v>
      </c>
      <c r="CG21" s="211"/>
      <c r="CH21" s="213">
        <f t="shared" si="15"/>
        <v>-158985.81</v>
      </c>
    </row>
    <row r="22" spans="1:86">
      <c r="A22" s="209"/>
      <c r="B22" s="209"/>
      <c r="C22" s="209"/>
      <c r="D22" s="209"/>
      <c r="E22" s="209" t="s">
        <v>117</v>
      </c>
      <c r="F22" s="209"/>
      <c r="G22" s="209"/>
      <c r="H22" s="210">
        <f>ROUND(SUM(H15:H21),5)</f>
        <v>0</v>
      </c>
      <c r="I22" s="211"/>
      <c r="J22" s="210">
        <f>ROUND(SUM(J15:J21),5)</f>
        <v>0</v>
      </c>
      <c r="K22" s="211"/>
      <c r="L22" s="210">
        <f>ROUND(SUM(L15:L21),5)</f>
        <v>0</v>
      </c>
      <c r="M22" s="211"/>
      <c r="N22" s="210">
        <f>ROUND(SUM(N15:N21),5)</f>
        <v>0</v>
      </c>
      <c r="O22" s="211"/>
      <c r="P22" s="210">
        <f>ROUND(SUM(P15:P21),5)</f>
        <v>0</v>
      </c>
      <c r="Q22" s="211"/>
      <c r="R22" s="210">
        <f>ROUND(SUM(R15:R21),5)</f>
        <v>0</v>
      </c>
      <c r="S22" s="211"/>
      <c r="T22" s="210">
        <f t="shared" si="8"/>
        <v>0</v>
      </c>
      <c r="U22" s="211"/>
      <c r="V22" s="210">
        <f>ROUND(SUM(V15:V21),5)</f>
        <v>0</v>
      </c>
      <c r="W22" s="211"/>
      <c r="X22" s="210">
        <f>ROUND(SUM(X15:X21),5)</f>
        <v>0</v>
      </c>
      <c r="Y22" s="211"/>
      <c r="Z22" s="210">
        <f>ROUND(SUM(Z15:Z21),5)</f>
        <v>0</v>
      </c>
      <c r="AA22" s="211"/>
      <c r="AB22" s="210">
        <f>ROUND(SUM(AB15:AB21),5)</f>
        <v>4601.9799999999996</v>
      </c>
      <c r="AC22" s="211"/>
      <c r="AD22" s="210">
        <f>ROUND(SUM(AD15:AD21),5)</f>
        <v>11.86</v>
      </c>
      <c r="AE22" s="211"/>
      <c r="AF22" s="210">
        <f>ROUND(SUM(AF15:AF21),5)</f>
        <v>7435.8</v>
      </c>
      <c r="AG22" s="211"/>
      <c r="AH22" s="210">
        <f>ROUND(SUM(AH15:AH21),5)</f>
        <v>1923.83</v>
      </c>
      <c r="AI22" s="211"/>
      <c r="AJ22" s="210">
        <f>ROUND(SUM(AJ15:AJ21),5)</f>
        <v>0</v>
      </c>
      <c r="AK22" s="211"/>
      <c r="AL22" s="210">
        <f>ROUND(SUM(AL15:AL21),5)</f>
        <v>550.79999999999995</v>
      </c>
      <c r="AM22" s="211"/>
      <c r="AN22" s="210">
        <f t="shared" si="9"/>
        <v>14524.27</v>
      </c>
      <c r="AO22" s="211"/>
      <c r="AP22" s="210">
        <f>ROUND(SUM(AP15:AP21),5)</f>
        <v>12491.07</v>
      </c>
      <c r="AQ22" s="211"/>
      <c r="AR22" s="210">
        <f>ROUND(SUM(AR15:AR21),5)</f>
        <v>0</v>
      </c>
      <c r="AS22" s="211"/>
      <c r="AT22" s="210">
        <f t="shared" si="10"/>
        <v>12491.07</v>
      </c>
      <c r="AU22" s="211"/>
      <c r="AV22" s="210">
        <f>ROUND(SUM(AV15:AV21),5)</f>
        <v>-2567.35</v>
      </c>
      <c r="AW22" s="211"/>
      <c r="AX22" s="210">
        <f>ROUND(SUM(AX15:AX21),5)</f>
        <v>29366.11</v>
      </c>
      <c r="AY22" s="211"/>
      <c r="AZ22" s="210">
        <f>ROUND(SUM(AZ15:AZ21),5)</f>
        <v>15962.48</v>
      </c>
      <c r="BA22" s="211"/>
      <c r="BB22" s="210">
        <f>ROUND(SUM(BB15:BB21),5)</f>
        <v>141382.5</v>
      </c>
      <c r="BC22" s="211"/>
      <c r="BD22" s="210">
        <f>ROUND(SUM(BD15:BD21),5)</f>
        <v>1255.52</v>
      </c>
      <c r="BE22" s="211"/>
      <c r="BF22" s="210">
        <f>ROUND(SUM(BF15:BF21),5)</f>
        <v>0</v>
      </c>
      <c r="BG22" s="211"/>
      <c r="BH22" s="210">
        <f t="shared" si="11"/>
        <v>185399.26</v>
      </c>
      <c r="BI22" s="211"/>
      <c r="BJ22" s="210">
        <f>ROUND(SUM(BJ15:BJ21),5)</f>
        <v>45.5</v>
      </c>
      <c r="BK22" s="211"/>
      <c r="BL22" s="210">
        <f t="shared" si="12"/>
        <v>45.5</v>
      </c>
      <c r="BM22" s="211"/>
      <c r="BN22" s="210">
        <f>ROUND(SUM(BN15:BN21),5)</f>
        <v>29642.42</v>
      </c>
      <c r="BO22" s="211"/>
      <c r="BP22" s="210">
        <f>ROUND(SUM(BP15:BP21),5)</f>
        <v>3005.41</v>
      </c>
      <c r="BQ22" s="211"/>
      <c r="BR22" s="210">
        <f t="shared" si="13"/>
        <v>32647.83</v>
      </c>
      <c r="BS22" s="211"/>
      <c r="BT22" s="210">
        <f>ROUND(SUM(BT15:BT21),5)</f>
        <v>0</v>
      </c>
      <c r="BU22" s="211"/>
      <c r="BV22" s="210">
        <f>ROUND(SUM(BV15:BV21),5)</f>
        <v>0</v>
      </c>
      <c r="BW22" s="211"/>
      <c r="BX22" s="210">
        <f>ROUND(SUM(BX15:BX21),5)</f>
        <v>0</v>
      </c>
      <c r="BY22" s="211"/>
      <c r="BZ22" s="210">
        <f>ROUND(SUM(BZ15:BZ21),5)</f>
        <v>0</v>
      </c>
      <c r="CA22" s="211"/>
      <c r="CB22" s="210">
        <f>ROUND(SUM(CB15:CB21),5)</f>
        <v>0</v>
      </c>
      <c r="CC22" s="211"/>
      <c r="CD22" s="210">
        <f t="shared" si="14"/>
        <v>218092.59</v>
      </c>
      <c r="CE22" s="211"/>
      <c r="CF22" s="210">
        <f>ROUND(SUM(CF15:CF21),5)</f>
        <v>125877</v>
      </c>
      <c r="CG22" s="211"/>
      <c r="CH22" s="210">
        <f t="shared" si="15"/>
        <v>370984.93</v>
      </c>
    </row>
    <row r="23" spans="1:86">
      <c r="A23" s="209"/>
      <c r="B23" s="209"/>
      <c r="C23" s="209"/>
      <c r="D23" s="209"/>
      <c r="E23" s="209" t="s">
        <v>75</v>
      </c>
      <c r="F23" s="209"/>
      <c r="G23" s="209"/>
      <c r="H23" s="210"/>
      <c r="I23" s="211"/>
      <c r="J23" s="210"/>
      <c r="K23" s="211"/>
      <c r="L23" s="210"/>
      <c r="M23" s="211"/>
      <c r="N23" s="210"/>
      <c r="O23" s="211"/>
      <c r="P23" s="210"/>
      <c r="Q23" s="211"/>
      <c r="R23" s="210"/>
      <c r="S23" s="211"/>
      <c r="T23" s="210"/>
      <c r="U23" s="211"/>
      <c r="V23" s="210"/>
      <c r="W23" s="211"/>
      <c r="X23" s="210"/>
      <c r="Y23" s="211"/>
      <c r="Z23" s="210"/>
      <c r="AA23" s="211"/>
      <c r="AB23" s="210"/>
      <c r="AC23" s="211"/>
      <c r="AD23" s="210"/>
      <c r="AE23" s="211"/>
      <c r="AF23" s="210"/>
      <c r="AG23" s="211"/>
      <c r="AH23" s="210"/>
      <c r="AI23" s="211"/>
      <c r="AJ23" s="210"/>
      <c r="AK23" s="211"/>
      <c r="AL23" s="210"/>
      <c r="AM23" s="211"/>
      <c r="AN23" s="210"/>
      <c r="AO23" s="211"/>
      <c r="AP23" s="210"/>
      <c r="AQ23" s="211"/>
      <c r="AR23" s="210"/>
      <c r="AS23" s="211"/>
      <c r="AT23" s="210"/>
      <c r="AU23" s="211"/>
      <c r="AV23" s="210"/>
      <c r="AW23" s="211"/>
      <c r="AX23" s="210"/>
      <c r="AY23" s="211"/>
      <c r="AZ23" s="210"/>
      <c r="BA23" s="211"/>
      <c r="BB23" s="210"/>
      <c r="BC23" s="211"/>
      <c r="BD23" s="210"/>
      <c r="BE23" s="211"/>
      <c r="BF23" s="210"/>
      <c r="BG23" s="211"/>
      <c r="BH23" s="210"/>
      <c r="BI23" s="211"/>
      <c r="BJ23" s="210"/>
      <c r="BK23" s="211"/>
      <c r="BL23" s="210"/>
      <c r="BM23" s="211"/>
      <c r="BN23" s="210"/>
      <c r="BO23" s="211"/>
      <c r="BP23" s="210"/>
      <c r="BQ23" s="211"/>
      <c r="BR23" s="210"/>
      <c r="BS23" s="211"/>
      <c r="BT23" s="210"/>
      <c r="BU23" s="211"/>
      <c r="BV23" s="210"/>
      <c r="BW23" s="211"/>
      <c r="BX23" s="210"/>
      <c r="BY23" s="211"/>
      <c r="BZ23" s="210"/>
      <c r="CA23" s="211"/>
      <c r="CB23" s="210"/>
      <c r="CC23" s="211"/>
      <c r="CD23" s="210"/>
      <c r="CE23" s="211"/>
      <c r="CF23" s="210"/>
      <c r="CG23" s="211"/>
      <c r="CH23" s="210"/>
    </row>
    <row r="24" spans="1:86">
      <c r="A24" s="209"/>
      <c r="B24" s="209"/>
      <c r="C24" s="209"/>
      <c r="D24" s="209"/>
      <c r="E24" s="209"/>
      <c r="F24" s="209" t="s">
        <v>119</v>
      </c>
      <c r="G24" s="209"/>
      <c r="H24" s="210">
        <v>0</v>
      </c>
      <c r="I24" s="211"/>
      <c r="J24" s="210">
        <v>0</v>
      </c>
      <c r="K24" s="211"/>
      <c r="L24" s="210">
        <v>0</v>
      </c>
      <c r="M24" s="211"/>
      <c r="N24" s="210">
        <v>0</v>
      </c>
      <c r="O24" s="211"/>
      <c r="P24" s="210">
        <v>0</v>
      </c>
      <c r="Q24" s="211"/>
      <c r="R24" s="210">
        <v>0</v>
      </c>
      <c r="S24" s="211"/>
      <c r="T24" s="210">
        <f>ROUND(SUM(P24:R24),5)</f>
        <v>0</v>
      </c>
      <c r="U24" s="211"/>
      <c r="V24" s="210">
        <v>0</v>
      </c>
      <c r="W24" s="211"/>
      <c r="X24" s="210">
        <v>0</v>
      </c>
      <c r="Y24" s="211"/>
      <c r="Z24" s="210">
        <v>0</v>
      </c>
      <c r="AA24" s="211"/>
      <c r="AB24" s="210">
        <v>3662.25</v>
      </c>
      <c r="AC24" s="211"/>
      <c r="AD24" s="210">
        <v>2822.72</v>
      </c>
      <c r="AE24" s="211"/>
      <c r="AF24" s="210">
        <v>79.28</v>
      </c>
      <c r="AG24" s="211"/>
      <c r="AH24" s="210">
        <v>1.1499999999999999</v>
      </c>
      <c r="AI24" s="211"/>
      <c r="AJ24" s="210">
        <v>0</v>
      </c>
      <c r="AK24" s="211"/>
      <c r="AL24" s="210">
        <v>412.58</v>
      </c>
      <c r="AM24" s="211"/>
      <c r="AN24" s="210">
        <f>ROUND(SUM(X24:AL24),5)</f>
        <v>6977.98</v>
      </c>
      <c r="AO24" s="211"/>
      <c r="AP24" s="210">
        <v>8048.53</v>
      </c>
      <c r="AQ24" s="211"/>
      <c r="AR24" s="210">
        <v>120.04</v>
      </c>
      <c r="AS24" s="211"/>
      <c r="AT24" s="210">
        <f>ROUND(SUM(AP24:AR24),5)</f>
        <v>8168.57</v>
      </c>
      <c r="AU24" s="211"/>
      <c r="AV24" s="210">
        <v>1.22</v>
      </c>
      <c r="AW24" s="211"/>
      <c r="AX24" s="210">
        <v>21165.06</v>
      </c>
      <c r="AY24" s="211"/>
      <c r="AZ24" s="210">
        <v>13152.74</v>
      </c>
      <c r="BA24" s="211"/>
      <c r="BB24" s="210">
        <v>127835.15</v>
      </c>
      <c r="BC24" s="211"/>
      <c r="BD24" s="210">
        <v>42.38</v>
      </c>
      <c r="BE24" s="211"/>
      <c r="BF24" s="210">
        <v>0</v>
      </c>
      <c r="BG24" s="211"/>
      <c r="BH24" s="210">
        <f>ROUND(SUM(AV24:BF24),5)</f>
        <v>162196.54999999999</v>
      </c>
      <c r="BI24" s="211"/>
      <c r="BJ24" s="210">
        <v>0</v>
      </c>
      <c r="BK24" s="211"/>
      <c r="BL24" s="210">
        <f>BJ24</f>
        <v>0</v>
      </c>
      <c r="BM24" s="211"/>
      <c r="BN24" s="210">
        <v>12930</v>
      </c>
      <c r="BO24" s="211"/>
      <c r="BP24" s="210">
        <v>6895.88</v>
      </c>
      <c r="BQ24" s="211"/>
      <c r="BR24" s="210">
        <f>ROUND(SUM(BN24:BP24),5)</f>
        <v>19825.88</v>
      </c>
      <c r="BS24" s="211"/>
      <c r="BT24" s="210">
        <v>1.04</v>
      </c>
      <c r="BU24" s="211"/>
      <c r="BV24" s="210">
        <v>0</v>
      </c>
      <c r="BW24" s="211"/>
      <c r="BX24" s="210">
        <v>0</v>
      </c>
      <c r="BY24" s="211"/>
      <c r="BZ24" s="210">
        <v>-18.87</v>
      </c>
      <c r="CA24" s="211"/>
      <c r="CB24" s="210">
        <v>0</v>
      </c>
      <c r="CC24" s="211"/>
      <c r="CD24" s="210">
        <f>ROUND(BH24+BL24+SUM(BR24:CB24),5)</f>
        <v>182004.6</v>
      </c>
      <c r="CE24" s="211"/>
      <c r="CF24" s="210">
        <v>0</v>
      </c>
      <c r="CG24" s="211"/>
      <c r="CH24" s="210">
        <f>ROUND(SUM(H24:N24)+SUM(T24:V24)+AN24+AT24+SUM(CD24:CF24),5)</f>
        <v>197151.15</v>
      </c>
    </row>
    <row r="25" spans="1:86">
      <c r="A25" s="209"/>
      <c r="B25" s="209"/>
      <c r="C25" s="209"/>
      <c r="D25" s="209"/>
      <c r="E25" s="209"/>
      <c r="F25" s="209" t="s">
        <v>120</v>
      </c>
      <c r="G25" s="209"/>
      <c r="H25" s="210">
        <v>0</v>
      </c>
      <c r="I25" s="211"/>
      <c r="J25" s="210">
        <v>0</v>
      </c>
      <c r="K25" s="211"/>
      <c r="L25" s="210">
        <v>0</v>
      </c>
      <c r="M25" s="211"/>
      <c r="N25" s="210">
        <v>0</v>
      </c>
      <c r="O25" s="211"/>
      <c r="P25" s="210">
        <v>0</v>
      </c>
      <c r="Q25" s="211"/>
      <c r="R25" s="210">
        <v>0</v>
      </c>
      <c r="S25" s="211"/>
      <c r="T25" s="210">
        <f>ROUND(SUM(P25:R25),5)</f>
        <v>0</v>
      </c>
      <c r="U25" s="211"/>
      <c r="V25" s="210">
        <v>0</v>
      </c>
      <c r="W25" s="211"/>
      <c r="X25" s="210">
        <v>0</v>
      </c>
      <c r="Y25" s="211"/>
      <c r="Z25" s="210">
        <v>0</v>
      </c>
      <c r="AA25" s="211"/>
      <c r="AB25" s="210">
        <v>0</v>
      </c>
      <c r="AC25" s="211"/>
      <c r="AD25" s="210">
        <v>372.2</v>
      </c>
      <c r="AE25" s="211"/>
      <c r="AF25" s="210">
        <v>178.36</v>
      </c>
      <c r="AG25" s="211"/>
      <c r="AH25" s="210">
        <v>0</v>
      </c>
      <c r="AI25" s="211"/>
      <c r="AJ25" s="210">
        <v>0</v>
      </c>
      <c r="AK25" s="211"/>
      <c r="AL25" s="210">
        <v>372.2</v>
      </c>
      <c r="AM25" s="211"/>
      <c r="AN25" s="210">
        <f>ROUND(SUM(X25:AL25),5)</f>
        <v>922.76</v>
      </c>
      <c r="AO25" s="211"/>
      <c r="AP25" s="210">
        <v>0</v>
      </c>
      <c r="AQ25" s="211"/>
      <c r="AR25" s="210">
        <v>0</v>
      </c>
      <c r="AS25" s="211"/>
      <c r="AT25" s="210">
        <f>ROUND(SUM(AP25:AR25),5)</f>
        <v>0</v>
      </c>
      <c r="AU25" s="211"/>
      <c r="AV25" s="210">
        <v>0</v>
      </c>
      <c r="AW25" s="211"/>
      <c r="AX25" s="210">
        <v>1190.57</v>
      </c>
      <c r="AY25" s="211"/>
      <c r="AZ25" s="210">
        <v>1033.71</v>
      </c>
      <c r="BA25" s="211"/>
      <c r="BB25" s="210">
        <v>6699.64</v>
      </c>
      <c r="BC25" s="211"/>
      <c r="BD25" s="210">
        <v>0</v>
      </c>
      <c r="BE25" s="211"/>
      <c r="BF25" s="210">
        <v>0</v>
      </c>
      <c r="BG25" s="211"/>
      <c r="BH25" s="210">
        <f>ROUND(SUM(AV25:BF25),5)</f>
        <v>8923.92</v>
      </c>
      <c r="BI25" s="211"/>
      <c r="BJ25" s="210">
        <v>0</v>
      </c>
      <c r="BK25" s="211"/>
      <c r="BL25" s="210">
        <f>BJ25</f>
        <v>0</v>
      </c>
      <c r="BM25" s="211"/>
      <c r="BN25" s="210">
        <v>4495.63</v>
      </c>
      <c r="BO25" s="211"/>
      <c r="BP25" s="210">
        <v>0</v>
      </c>
      <c r="BQ25" s="211"/>
      <c r="BR25" s="210">
        <f>ROUND(SUM(BN25:BP25),5)</f>
        <v>4495.63</v>
      </c>
      <c r="BS25" s="211"/>
      <c r="BT25" s="210">
        <v>0</v>
      </c>
      <c r="BU25" s="211"/>
      <c r="BV25" s="210">
        <v>0</v>
      </c>
      <c r="BW25" s="211"/>
      <c r="BX25" s="210">
        <v>0</v>
      </c>
      <c r="BY25" s="211"/>
      <c r="BZ25" s="210">
        <v>0</v>
      </c>
      <c r="CA25" s="211"/>
      <c r="CB25" s="210">
        <v>0</v>
      </c>
      <c r="CC25" s="211"/>
      <c r="CD25" s="210">
        <f>ROUND(BH25+BL25+SUM(BR25:CB25),5)</f>
        <v>13419.55</v>
      </c>
      <c r="CE25" s="211"/>
      <c r="CF25" s="210">
        <v>0</v>
      </c>
      <c r="CG25" s="211"/>
      <c r="CH25" s="210">
        <f>ROUND(SUM(H25:N25)+SUM(T25:V25)+AN25+AT25+SUM(CD25:CF25),5)</f>
        <v>14342.31</v>
      </c>
    </row>
    <row r="26" spans="1:86">
      <c r="A26" s="209"/>
      <c r="B26" s="209"/>
      <c r="C26" s="209"/>
      <c r="D26" s="209"/>
      <c r="E26" s="209"/>
      <c r="F26" s="209" t="s">
        <v>121</v>
      </c>
      <c r="G26" s="209"/>
      <c r="H26" s="210">
        <v>0</v>
      </c>
      <c r="I26" s="211"/>
      <c r="J26" s="210">
        <v>0</v>
      </c>
      <c r="K26" s="211"/>
      <c r="L26" s="210">
        <v>0</v>
      </c>
      <c r="M26" s="211"/>
      <c r="N26" s="210">
        <v>0</v>
      </c>
      <c r="O26" s="211"/>
      <c r="P26" s="210">
        <v>0</v>
      </c>
      <c r="Q26" s="211"/>
      <c r="R26" s="210">
        <v>0</v>
      </c>
      <c r="S26" s="211"/>
      <c r="T26" s="210">
        <f>ROUND(SUM(P26:R26),5)</f>
        <v>0</v>
      </c>
      <c r="U26" s="211"/>
      <c r="V26" s="210">
        <v>0</v>
      </c>
      <c r="W26" s="211"/>
      <c r="X26" s="210">
        <v>0</v>
      </c>
      <c r="Y26" s="211"/>
      <c r="Z26" s="210">
        <v>0</v>
      </c>
      <c r="AA26" s="211"/>
      <c r="AB26" s="210">
        <v>23.23</v>
      </c>
      <c r="AC26" s="211"/>
      <c r="AD26" s="210">
        <v>19.47</v>
      </c>
      <c r="AE26" s="211"/>
      <c r="AF26" s="210">
        <v>238.24</v>
      </c>
      <c r="AG26" s="211"/>
      <c r="AH26" s="210">
        <v>0</v>
      </c>
      <c r="AI26" s="211"/>
      <c r="AJ26" s="210">
        <v>0</v>
      </c>
      <c r="AK26" s="211"/>
      <c r="AL26" s="210">
        <v>9.73</v>
      </c>
      <c r="AM26" s="211"/>
      <c r="AN26" s="210">
        <f>ROUND(SUM(X26:AL26),5)</f>
        <v>290.67</v>
      </c>
      <c r="AO26" s="211"/>
      <c r="AP26" s="210">
        <v>455.87</v>
      </c>
      <c r="AQ26" s="211"/>
      <c r="AR26" s="210">
        <v>0</v>
      </c>
      <c r="AS26" s="211"/>
      <c r="AT26" s="210">
        <f>ROUND(SUM(AP26:AR26),5)</f>
        <v>455.87</v>
      </c>
      <c r="AU26" s="211"/>
      <c r="AV26" s="210">
        <v>0</v>
      </c>
      <c r="AW26" s="211"/>
      <c r="AX26" s="210">
        <v>25.67</v>
      </c>
      <c r="AY26" s="211"/>
      <c r="AZ26" s="210">
        <v>849.03</v>
      </c>
      <c r="BA26" s="211"/>
      <c r="BB26" s="210">
        <v>962.19</v>
      </c>
      <c r="BC26" s="211"/>
      <c r="BD26" s="210">
        <v>0</v>
      </c>
      <c r="BE26" s="211"/>
      <c r="BF26" s="210">
        <v>0</v>
      </c>
      <c r="BG26" s="211"/>
      <c r="BH26" s="210">
        <f>ROUND(SUM(AV26:BF26),5)</f>
        <v>1836.89</v>
      </c>
      <c r="BI26" s="211"/>
      <c r="BJ26" s="210">
        <v>0</v>
      </c>
      <c r="BK26" s="211"/>
      <c r="BL26" s="210">
        <f>BJ26</f>
        <v>0</v>
      </c>
      <c r="BM26" s="211"/>
      <c r="BN26" s="210">
        <v>112</v>
      </c>
      <c r="BO26" s="211"/>
      <c r="BP26" s="210">
        <v>0</v>
      </c>
      <c r="BQ26" s="211"/>
      <c r="BR26" s="210">
        <f>ROUND(SUM(BN26:BP26),5)</f>
        <v>112</v>
      </c>
      <c r="BS26" s="211"/>
      <c r="BT26" s="210">
        <v>0</v>
      </c>
      <c r="BU26" s="211"/>
      <c r="BV26" s="210">
        <v>0</v>
      </c>
      <c r="BW26" s="211"/>
      <c r="BX26" s="210">
        <v>0</v>
      </c>
      <c r="BY26" s="211"/>
      <c r="BZ26" s="210">
        <v>0</v>
      </c>
      <c r="CA26" s="211"/>
      <c r="CB26" s="210">
        <v>0</v>
      </c>
      <c r="CC26" s="211"/>
      <c r="CD26" s="210">
        <f>ROUND(BH26+BL26+SUM(BR26:CB26),5)</f>
        <v>1948.89</v>
      </c>
      <c r="CE26" s="211"/>
      <c r="CF26" s="210">
        <v>0</v>
      </c>
      <c r="CG26" s="211"/>
      <c r="CH26" s="210">
        <f>ROUND(SUM(H26:N26)+SUM(T26:V26)+AN26+AT26+SUM(CD26:CF26),5)</f>
        <v>2695.43</v>
      </c>
    </row>
    <row r="27" spans="1:86">
      <c r="A27" s="209"/>
      <c r="B27" s="209"/>
      <c r="C27" s="209"/>
      <c r="D27" s="209"/>
      <c r="E27" s="209"/>
      <c r="F27" s="209" t="s">
        <v>118</v>
      </c>
      <c r="G27" s="209"/>
      <c r="H27" s="210">
        <v>0</v>
      </c>
      <c r="I27" s="211"/>
      <c r="J27" s="210">
        <v>0</v>
      </c>
      <c r="K27" s="211"/>
      <c r="L27" s="210">
        <v>0</v>
      </c>
      <c r="M27" s="211"/>
      <c r="N27" s="210">
        <v>0</v>
      </c>
      <c r="O27" s="211"/>
      <c r="P27" s="210">
        <v>0</v>
      </c>
      <c r="Q27" s="211"/>
      <c r="R27" s="210">
        <v>0</v>
      </c>
      <c r="S27" s="211"/>
      <c r="T27" s="210">
        <f>ROUND(SUM(P27:R27),5)</f>
        <v>0</v>
      </c>
      <c r="U27" s="211"/>
      <c r="V27" s="210">
        <v>0</v>
      </c>
      <c r="W27" s="211"/>
      <c r="X27" s="210">
        <v>0</v>
      </c>
      <c r="Y27" s="211"/>
      <c r="Z27" s="210">
        <v>0</v>
      </c>
      <c r="AA27" s="211"/>
      <c r="AB27" s="210">
        <v>2963.23</v>
      </c>
      <c r="AC27" s="211"/>
      <c r="AD27" s="210">
        <v>4368.33</v>
      </c>
      <c r="AE27" s="211"/>
      <c r="AF27" s="210">
        <v>18431.43</v>
      </c>
      <c r="AG27" s="211"/>
      <c r="AH27" s="210">
        <v>126.2</v>
      </c>
      <c r="AI27" s="211"/>
      <c r="AJ27" s="210">
        <v>0</v>
      </c>
      <c r="AK27" s="211"/>
      <c r="AL27" s="210">
        <v>1363.65</v>
      </c>
      <c r="AM27" s="211"/>
      <c r="AN27" s="210">
        <f>ROUND(SUM(X27:AL27),5)</f>
        <v>27252.84</v>
      </c>
      <c r="AO27" s="211"/>
      <c r="AP27" s="210">
        <v>5735.89</v>
      </c>
      <c r="AQ27" s="211"/>
      <c r="AR27" s="210">
        <v>0</v>
      </c>
      <c r="AS27" s="211"/>
      <c r="AT27" s="210">
        <f>ROUND(SUM(AP27:AR27),5)</f>
        <v>5735.89</v>
      </c>
      <c r="AU27" s="211"/>
      <c r="AV27" s="210">
        <v>46.67</v>
      </c>
      <c r="AW27" s="211"/>
      <c r="AX27" s="210">
        <v>11680.65</v>
      </c>
      <c r="AY27" s="211"/>
      <c r="AZ27" s="210">
        <v>7300.46</v>
      </c>
      <c r="BA27" s="211"/>
      <c r="BB27" s="210">
        <v>98731.49</v>
      </c>
      <c r="BC27" s="211"/>
      <c r="BD27" s="210">
        <v>231.46</v>
      </c>
      <c r="BE27" s="211"/>
      <c r="BF27" s="210">
        <v>0</v>
      </c>
      <c r="BG27" s="211"/>
      <c r="BH27" s="210">
        <f>ROUND(SUM(AV27:BF27),5)</f>
        <v>117990.73</v>
      </c>
      <c r="BI27" s="211"/>
      <c r="BJ27" s="210">
        <v>0</v>
      </c>
      <c r="BK27" s="211"/>
      <c r="BL27" s="210">
        <f>BJ27</f>
        <v>0</v>
      </c>
      <c r="BM27" s="211"/>
      <c r="BN27" s="210">
        <v>12676.02</v>
      </c>
      <c r="BO27" s="211"/>
      <c r="BP27" s="210">
        <v>6555.76</v>
      </c>
      <c r="BQ27" s="211"/>
      <c r="BR27" s="210">
        <f>ROUND(SUM(BN27:BP27),5)</f>
        <v>19231.78</v>
      </c>
      <c r="BS27" s="211"/>
      <c r="BT27" s="210">
        <v>0</v>
      </c>
      <c r="BU27" s="211"/>
      <c r="BV27" s="210">
        <v>0</v>
      </c>
      <c r="BW27" s="211"/>
      <c r="BX27" s="210">
        <v>0</v>
      </c>
      <c r="BY27" s="211"/>
      <c r="BZ27" s="210">
        <v>0</v>
      </c>
      <c r="CA27" s="211"/>
      <c r="CB27" s="210">
        <v>0</v>
      </c>
      <c r="CC27" s="211"/>
      <c r="CD27" s="210">
        <f>ROUND(BH27+BL27+SUM(BR27:CB27),5)</f>
        <v>137222.51</v>
      </c>
      <c r="CE27" s="211"/>
      <c r="CF27" s="210">
        <v>0</v>
      </c>
      <c r="CG27" s="211"/>
      <c r="CH27" s="210">
        <f>ROUND(SUM(H27:N27)+SUM(T27:V27)+AN27+AT27+SUM(CD27:CF27),5)</f>
        <v>170211.24</v>
      </c>
    </row>
    <row r="28" spans="1:86">
      <c r="A28" s="209"/>
      <c r="B28" s="209"/>
      <c r="C28" s="209"/>
      <c r="D28" s="209"/>
      <c r="E28" s="209"/>
      <c r="F28" s="209" t="s">
        <v>123</v>
      </c>
      <c r="G28" s="209"/>
      <c r="H28" s="210">
        <v>0</v>
      </c>
      <c r="I28" s="211"/>
      <c r="J28" s="210">
        <v>0</v>
      </c>
      <c r="K28" s="211"/>
      <c r="L28" s="210">
        <v>0</v>
      </c>
      <c r="M28" s="211"/>
      <c r="N28" s="210">
        <v>0</v>
      </c>
      <c r="O28" s="211"/>
      <c r="P28" s="210">
        <v>0</v>
      </c>
      <c r="Q28" s="211"/>
      <c r="R28" s="210">
        <v>0</v>
      </c>
      <c r="S28" s="211"/>
      <c r="T28" s="210">
        <f>ROUND(SUM(P28:R28),5)</f>
        <v>0</v>
      </c>
      <c r="U28" s="211"/>
      <c r="V28" s="210">
        <v>0</v>
      </c>
      <c r="W28" s="211"/>
      <c r="X28" s="210">
        <v>0</v>
      </c>
      <c r="Y28" s="211"/>
      <c r="Z28" s="210">
        <v>0</v>
      </c>
      <c r="AA28" s="211"/>
      <c r="AB28" s="210">
        <v>68.64</v>
      </c>
      <c r="AC28" s="211"/>
      <c r="AD28" s="210">
        <v>49.22</v>
      </c>
      <c r="AE28" s="211"/>
      <c r="AF28" s="210">
        <v>274.02</v>
      </c>
      <c r="AG28" s="211"/>
      <c r="AH28" s="210">
        <v>41.09</v>
      </c>
      <c r="AI28" s="211"/>
      <c r="AJ28" s="210">
        <v>0</v>
      </c>
      <c r="AK28" s="211"/>
      <c r="AL28" s="210">
        <v>9.6199999999999992</v>
      </c>
      <c r="AM28" s="211"/>
      <c r="AN28" s="210">
        <f>ROUND(SUM(X28:AL28),5)</f>
        <v>442.59</v>
      </c>
      <c r="AO28" s="211"/>
      <c r="AP28" s="210">
        <v>168.14</v>
      </c>
      <c r="AQ28" s="211"/>
      <c r="AR28" s="210">
        <v>0</v>
      </c>
      <c r="AS28" s="211"/>
      <c r="AT28" s="210">
        <f>ROUND(SUM(AP28:AR28),5)</f>
        <v>168.14</v>
      </c>
      <c r="AU28" s="211"/>
      <c r="AV28" s="210">
        <v>1.1000000000000001</v>
      </c>
      <c r="AW28" s="211"/>
      <c r="AX28" s="210">
        <v>453.66</v>
      </c>
      <c r="AY28" s="211"/>
      <c r="AZ28" s="210">
        <v>252.08</v>
      </c>
      <c r="BA28" s="211"/>
      <c r="BB28" s="210">
        <v>11632.54</v>
      </c>
      <c r="BC28" s="211"/>
      <c r="BD28" s="210">
        <v>6.26</v>
      </c>
      <c r="BE28" s="211"/>
      <c r="BF28" s="210">
        <v>0</v>
      </c>
      <c r="BG28" s="211"/>
      <c r="BH28" s="210">
        <f>ROUND(SUM(AV28:BF28),5)</f>
        <v>12345.64</v>
      </c>
      <c r="BI28" s="211"/>
      <c r="BJ28" s="210">
        <v>0</v>
      </c>
      <c r="BK28" s="211"/>
      <c r="BL28" s="210">
        <f>BJ28</f>
        <v>0</v>
      </c>
      <c r="BM28" s="211"/>
      <c r="BN28" s="210">
        <v>249.99</v>
      </c>
      <c r="BO28" s="211"/>
      <c r="BP28" s="210">
        <v>17.25</v>
      </c>
      <c r="BQ28" s="211"/>
      <c r="BR28" s="210">
        <f>ROUND(SUM(BN28:BP28),5)</f>
        <v>267.24</v>
      </c>
      <c r="BS28" s="211"/>
      <c r="BT28" s="210">
        <v>0.28000000000000003</v>
      </c>
      <c r="BU28" s="211"/>
      <c r="BV28" s="210">
        <v>0</v>
      </c>
      <c r="BW28" s="211"/>
      <c r="BX28" s="210">
        <v>0</v>
      </c>
      <c r="BY28" s="211"/>
      <c r="BZ28" s="210">
        <v>0</v>
      </c>
      <c r="CA28" s="211"/>
      <c r="CB28" s="210">
        <v>0</v>
      </c>
      <c r="CC28" s="211"/>
      <c r="CD28" s="210">
        <f>ROUND(BH28+BL28+SUM(BR28:CB28),5)</f>
        <v>12613.16</v>
      </c>
      <c r="CE28" s="211"/>
      <c r="CF28" s="210">
        <v>0</v>
      </c>
      <c r="CG28" s="211"/>
      <c r="CH28" s="210">
        <f>ROUND(SUM(H28:N28)+SUM(T28:V28)+AN28+AT28+SUM(CD28:CF28),5)</f>
        <v>13223.89</v>
      </c>
    </row>
    <row r="29" spans="1:86">
      <c r="A29" s="209"/>
      <c r="B29" s="209"/>
      <c r="C29" s="209"/>
      <c r="D29" s="209"/>
      <c r="E29" s="209"/>
      <c r="F29" s="209" t="s">
        <v>125</v>
      </c>
      <c r="G29" s="209"/>
      <c r="H29" s="210"/>
      <c r="I29" s="211"/>
      <c r="J29" s="210"/>
      <c r="K29" s="211"/>
      <c r="L29" s="210"/>
      <c r="M29" s="211"/>
      <c r="N29" s="210"/>
      <c r="O29" s="211"/>
      <c r="P29" s="210"/>
      <c r="Q29" s="211"/>
      <c r="R29" s="210"/>
      <c r="S29" s="211"/>
      <c r="T29" s="210"/>
      <c r="U29" s="211"/>
      <c r="V29" s="210"/>
      <c r="W29" s="211"/>
      <c r="X29" s="210"/>
      <c r="Y29" s="211"/>
      <c r="Z29" s="210"/>
      <c r="AA29" s="211"/>
      <c r="AB29" s="210"/>
      <c r="AC29" s="211"/>
      <c r="AD29" s="210"/>
      <c r="AE29" s="211"/>
      <c r="AF29" s="210"/>
      <c r="AG29" s="211"/>
      <c r="AH29" s="210"/>
      <c r="AI29" s="211"/>
      <c r="AJ29" s="210"/>
      <c r="AK29" s="211"/>
      <c r="AL29" s="210"/>
      <c r="AM29" s="211"/>
      <c r="AN29" s="210"/>
      <c r="AO29" s="211"/>
      <c r="AP29" s="210"/>
      <c r="AQ29" s="211"/>
      <c r="AR29" s="210"/>
      <c r="AS29" s="211"/>
      <c r="AT29" s="210"/>
      <c r="AU29" s="211"/>
      <c r="AV29" s="210"/>
      <c r="AW29" s="211"/>
      <c r="AX29" s="210"/>
      <c r="AY29" s="211"/>
      <c r="AZ29" s="210"/>
      <c r="BA29" s="211"/>
      <c r="BB29" s="210"/>
      <c r="BC29" s="211"/>
      <c r="BD29" s="210"/>
      <c r="BE29" s="211"/>
      <c r="BF29" s="210"/>
      <c r="BG29" s="211"/>
      <c r="BH29" s="210"/>
      <c r="BI29" s="211"/>
      <c r="BJ29" s="210"/>
      <c r="BK29" s="211"/>
      <c r="BL29" s="210"/>
      <c r="BM29" s="211"/>
      <c r="BN29" s="210"/>
      <c r="BO29" s="211"/>
      <c r="BP29" s="210"/>
      <c r="BQ29" s="211"/>
      <c r="BR29" s="210"/>
      <c r="BS29" s="211"/>
      <c r="BT29" s="210"/>
      <c r="BU29" s="211"/>
      <c r="BV29" s="210"/>
      <c r="BW29" s="211"/>
      <c r="BX29" s="210"/>
      <c r="BY29" s="211"/>
      <c r="BZ29" s="210"/>
      <c r="CA29" s="211"/>
      <c r="CB29" s="210"/>
      <c r="CC29" s="211"/>
      <c r="CD29" s="210"/>
      <c r="CE29" s="211"/>
      <c r="CF29" s="210"/>
      <c r="CG29" s="211"/>
      <c r="CH29" s="210"/>
    </row>
    <row r="30" spans="1:86">
      <c r="A30" s="209"/>
      <c r="B30" s="209"/>
      <c r="C30" s="209"/>
      <c r="D30" s="209"/>
      <c r="E30" s="209"/>
      <c r="F30" s="209"/>
      <c r="G30" s="209" t="s">
        <v>383</v>
      </c>
      <c r="H30" s="210">
        <v>0</v>
      </c>
      <c r="I30" s="211"/>
      <c r="J30" s="210">
        <v>0</v>
      </c>
      <c r="K30" s="211"/>
      <c r="L30" s="210">
        <v>0</v>
      </c>
      <c r="M30" s="211"/>
      <c r="N30" s="210">
        <v>0</v>
      </c>
      <c r="O30" s="211"/>
      <c r="P30" s="210">
        <v>0</v>
      </c>
      <c r="Q30" s="211"/>
      <c r="R30" s="210">
        <v>0</v>
      </c>
      <c r="S30" s="211"/>
      <c r="T30" s="210">
        <f>ROUND(SUM(P30:R30),5)</f>
        <v>0</v>
      </c>
      <c r="U30" s="211"/>
      <c r="V30" s="210">
        <v>0</v>
      </c>
      <c r="W30" s="211"/>
      <c r="X30" s="210">
        <v>0</v>
      </c>
      <c r="Y30" s="211"/>
      <c r="Z30" s="210">
        <v>0</v>
      </c>
      <c r="AA30" s="211"/>
      <c r="AB30" s="210">
        <v>0</v>
      </c>
      <c r="AC30" s="211"/>
      <c r="AD30" s="210">
        <v>0</v>
      </c>
      <c r="AE30" s="211"/>
      <c r="AF30" s="210">
        <v>0</v>
      </c>
      <c r="AG30" s="211"/>
      <c r="AH30" s="210">
        <v>0</v>
      </c>
      <c r="AI30" s="211"/>
      <c r="AJ30" s="210">
        <v>0</v>
      </c>
      <c r="AK30" s="211"/>
      <c r="AL30" s="210">
        <v>0</v>
      </c>
      <c r="AM30" s="211"/>
      <c r="AN30" s="210">
        <f>ROUND(SUM(X30:AL30),5)</f>
        <v>0</v>
      </c>
      <c r="AO30" s="211"/>
      <c r="AP30" s="210">
        <v>0</v>
      </c>
      <c r="AQ30" s="211"/>
      <c r="AR30" s="210">
        <v>0</v>
      </c>
      <c r="AS30" s="211"/>
      <c r="AT30" s="210">
        <f>ROUND(SUM(AP30:AR30),5)</f>
        <v>0</v>
      </c>
      <c r="AU30" s="211"/>
      <c r="AV30" s="210">
        <v>0</v>
      </c>
      <c r="AW30" s="211"/>
      <c r="AX30" s="210">
        <v>0</v>
      </c>
      <c r="AY30" s="211"/>
      <c r="AZ30" s="210">
        <v>0</v>
      </c>
      <c r="BA30" s="211"/>
      <c r="BB30" s="210">
        <v>41044.58</v>
      </c>
      <c r="BC30" s="211"/>
      <c r="BD30" s="210">
        <v>0</v>
      </c>
      <c r="BE30" s="211"/>
      <c r="BF30" s="210">
        <v>0</v>
      </c>
      <c r="BG30" s="211"/>
      <c r="BH30" s="210">
        <f>ROUND(SUM(AV30:BF30),5)</f>
        <v>41044.58</v>
      </c>
      <c r="BI30" s="211"/>
      <c r="BJ30" s="210">
        <v>0</v>
      </c>
      <c r="BK30" s="211"/>
      <c r="BL30" s="210">
        <f>BJ30</f>
        <v>0</v>
      </c>
      <c r="BM30" s="211"/>
      <c r="BN30" s="210">
        <v>0</v>
      </c>
      <c r="BO30" s="211"/>
      <c r="BP30" s="210">
        <v>0</v>
      </c>
      <c r="BQ30" s="211"/>
      <c r="BR30" s="210">
        <f>ROUND(SUM(BN30:BP30),5)</f>
        <v>0</v>
      </c>
      <c r="BS30" s="211"/>
      <c r="BT30" s="210">
        <v>0</v>
      </c>
      <c r="BU30" s="211"/>
      <c r="BV30" s="210">
        <v>0</v>
      </c>
      <c r="BW30" s="211"/>
      <c r="BX30" s="210">
        <v>0</v>
      </c>
      <c r="BY30" s="211"/>
      <c r="BZ30" s="210">
        <v>0</v>
      </c>
      <c r="CA30" s="211"/>
      <c r="CB30" s="210">
        <v>0</v>
      </c>
      <c r="CC30" s="211"/>
      <c r="CD30" s="210">
        <f>ROUND(BH30+BL30+SUM(BR30:CB30),5)</f>
        <v>41044.58</v>
      </c>
      <c r="CE30" s="211"/>
      <c r="CF30" s="210">
        <v>0</v>
      </c>
      <c r="CG30" s="211"/>
      <c r="CH30" s="210">
        <f>ROUND(SUM(H30:N30)+SUM(T30:V30)+AN30+AT30+SUM(CD30:CF30),5)</f>
        <v>41044.58</v>
      </c>
    </row>
    <row r="31" spans="1:86" ht="15" thickBot="1">
      <c r="A31" s="209"/>
      <c r="B31" s="209"/>
      <c r="C31" s="209"/>
      <c r="D31" s="209"/>
      <c r="E31" s="209"/>
      <c r="F31" s="209"/>
      <c r="G31" s="209" t="s">
        <v>384</v>
      </c>
      <c r="H31" s="214">
        <v>0</v>
      </c>
      <c r="I31" s="211"/>
      <c r="J31" s="214">
        <v>0</v>
      </c>
      <c r="K31" s="211"/>
      <c r="L31" s="214">
        <v>0</v>
      </c>
      <c r="M31" s="211"/>
      <c r="N31" s="214">
        <v>0</v>
      </c>
      <c r="O31" s="211"/>
      <c r="P31" s="214">
        <v>0</v>
      </c>
      <c r="Q31" s="211"/>
      <c r="R31" s="214">
        <v>0</v>
      </c>
      <c r="S31" s="211"/>
      <c r="T31" s="214">
        <f>ROUND(SUM(P31:R31),5)</f>
        <v>0</v>
      </c>
      <c r="U31" s="211"/>
      <c r="V31" s="214">
        <v>0</v>
      </c>
      <c r="W31" s="211"/>
      <c r="X31" s="214">
        <v>0</v>
      </c>
      <c r="Y31" s="211"/>
      <c r="Z31" s="214">
        <v>0</v>
      </c>
      <c r="AA31" s="211"/>
      <c r="AB31" s="214">
        <v>377.17</v>
      </c>
      <c r="AC31" s="211"/>
      <c r="AD31" s="214">
        <v>139.08000000000001</v>
      </c>
      <c r="AE31" s="211"/>
      <c r="AF31" s="214">
        <v>1081.04</v>
      </c>
      <c r="AG31" s="211"/>
      <c r="AH31" s="214">
        <v>8.56</v>
      </c>
      <c r="AI31" s="211"/>
      <c r="AJ31" s="214">
        <v>0</v>
      </c>
      <c r="AK31" s="211"/>
      <c r="AL31" s="214">
        <v>39.25</v>
      </c>
      <c r="AM31" s="211"/>
      <c r="AN31" s="214">
        <f>ROUND(SUM(X31:AL31),5)</f>
        <v>1645.1</v>
      </c>
      <c r="AO31" s="211"/>
      <c r="AP31" s="214">
        <v>3993.33</v>
      </c>
      <c r="AQ31" s="211"/>
      <c r="AR31" s="214">
        <v>219.3</v>
      </c>
      <c r="AS31" s="211"/>
      <c r="AT31" s="214">
        <f>ROUND(SUM(AP31:AR31),5)</f>
        <v>4212.63</v>
      </c>
      <c r="AU31" s="211"/>
      <c r="AV31" s="214">
        <v>0</v>
      </c>
      <c r="AW31" s="211"/>
      <c r="AX31" s="214">
        <v>3259.76</v>
      </c>
      <c r="AY31" s="211"/>
      <c r="AZ31" s="214">
        <v>2836.25</v>
      </c>
      <c r="BA31" s="211"/>
      <c r="BB31" s="214">
        <v>13697</v>
      </c>
      <c r="BC31" s="211"/>
      <c r="BD31" s="214">
        <v>4.1900000000000004</v>
      </c>
      <c r="BE31" s="211"/>
      <c r="BF31" s="214">
        <v>0</v>
      </c>
      <c r="BG31" s="211"/>
      <c r="BH31" s="214">
        <f>ROUND(SUM(AV31:BF31),5)</f>
        <v>19797.2</v>
      </c>
      <c r="BI31" s="211"/>
      <c r="BJ31" s="214">
        <v>0</v>
      </c>
      <c r="BK31" s="211"/>
      <c r="BL31" s="214">
        <f>BJ31</f>
        <v>0</v>
      </c>
      <c r="BM31" s="211"/>
      <c r="BN31" s="214">
        <v>2884.5</v>
      </c>
      <c r="BO31" s="211"/>
      <c r="BP31" s="214">
        <v>1778.87</v>
      </c>
      <c r="BQ31" s="211"/>
      <c r="BR31" s="214">
        <f>ROUND(SUM(BN31:BP31),5)</f>
        <v>4663.37</v>
      </c>
      <c r="BS31" s="211"/>
      <c r="BT31" s="214">
        <v>7.73</v>
      </c>
      <c r="BU31" s="211"/>
      <c r="BV31" s="214">
        <v>0</v>
      </c>
      <c r="BW31" s="211"/>
      <c r="BX31" s="214">
        <v>0</v>
      </c>
      <c r="BY31" s="211"/>
      <c r="BZ31" s="214">
        <v>0</v>
      </c>
      <c r="CA31" s="211"/>
      <c r="CB31" s="214">
        <v>0</v>
      </c>
      <c r="CC31" s="211"/>
      <c r="CD31" s="214">
        <f>ROUND(BH31+BL31+SUM(BR31:CB31),5)</f>
        <v>24468.3</v>
      </c>
      <c r="CE31" s="211"/>
      <c r="CF31" s="214">
        <v>0</v>
      </c>
      <c r="CG31" s="211"/>
      <c r="CH31" s="214">
        <f>ROUND(SUM(H31:N31)+SUM(T31:V31)+AN31+AT31+SUM(CD31:CF31),5)</f>
        <v>30326.03</v>
      </c>
    </row>
    <row r="32" spans="1:86" ht="15" thickBot="1">
      <c r="A32" s="209"/>
      <c r="B32" s="209"/>
      <c r="C32" s="209"/>
      <c r="D32" s="209"/>
      <c r="E32" s="209"/>
      <c r="F32" s="209" t="s">
        <v>385</v>
      </c>
      <c r="G32" s="209"/>
      <c r="H32" s="221">
        <f>ROUND(SUM(H29:H31),5)</f>
        <v>0</v>
      </c>
      <c r="I32" s="211"/>
      <c r="J32" s="221">
        <f>ROUND(SUM(J29:J31),5)</f>
        <v>0</v>
      </c>
      <c r="K32" s="211"/>
      <c r="L32" s="221">
        <f>ROUND(SUM(L29:L31),5)</f>
        <v>0</v>
      </c>
      <c r="M32" s="211"/>
      <c r="N32" s="221">
        <f>ROUND(SUM(N29:N31),5)</f>
        <v>0</v>
      </c>
      <c r="O32" s="211"/>
      <c r="P32" s="221">
        <f>ROUND(SUM(P29:P31),5)</f>
        <v>0</v>
      </c>
      <c r="Q32" s="211"/>
      <c r="R32" s="221">
        <f>ROUND(SUM(R29:R31),5)</f>
        <v>0</v>
      </c>
      <c r="S32" s="211"/>
      <c r="T32" s="221">
        <f>ROUND(SUM(P32:R32),5)</f>
        <v>0</v>
      </c>
      <c r="U32" s="211"/>
      <c r="V32" s="221">
        <f>ROUND(SUM(V29:V31),5)</f>
        <v>0</v>
      </c>
      <c r="W32" s="211"/>
      <c r="X32" s="221">
        <f>ROUND(SUM(X29:X31),5)</f>
        <v>0</v>
      </c>
      <c r="Y32" s="211"/>
      <c r="Z32" s="221">
        <f>ROUND(SUM(Z29:Z31),5)</f>
        <v>0</v>
      </c>
      <c r="AA32" s="211"/>
      <c r="AB32" s="221">
        <f>ROUND(SUM(AB29:AB31),5)</f>
        <v>377.17</v>
      </c>
      <c r="AC32" s="211"/>
      <c r="AD32" s="221">
        <f>ROUND(SUM(AD29:AD31),5)</f>
        <v>139.08000000000001</v>
      </c>
      <c r="AE32" s="211"/>
      <c r="AF32" s="221">
        <f>ROUND(SUM(AF29:AF31),5)</f>
        <v>1081.04</v>
      </c>
      <c r="AG32" s="211"/>
      <c r="AH32" s="221">
        <f>ROUND(SUM(AH29:AH31),5)</f>
        <v>8.56</v>
      </c>
      <c r="AI32" s="211"/>
      <c r="AJ32" s="221">
        <f>ROUND(SUM(AJ29:AJ31),5)</f>
        <v>0</v>
      </c>
      <c r="AK32" s="211"/>
      <c r="AL32" s="221">
        <f>ROUND(SUM(AL29:AL31),5)</f>
        <v>39.25</v>
      </c>
      <c r="AM32" s="211"/>
      <c r="AN32" s="221">
        <f>ROUND(SUM(X32:AL32),5)</f>
        <v>1645.1</v>
      </c>
      <c r="AO32" s="211"/>
      <c r="AP32" s="221">
        <f>ROUND(SUM(AP29:AP31),5)</f>
        <v>3993.33</v>
      </c>
      <c r="AQ32" s="211"/>
      <c r="AR32" s="221">
        <f>ROUND(SUM(AR29:AR31),5)</f>
        <v>219.3</v>
      </c>
      <c r="AS32" s="211"/>
      <c r="AT32" s="221">
        <f>ROUND(SUM(AP32:AR32),5)</f>
        <v>4212.63</v>
      </c>
      <c r="AU32" s="211"/>
      <c r="AV32" s="221">
        <f>ROUND(SUM(AV29:AV31),5)</f>
        <v>0</v>
      </c>
      <c r="AW32" s="211"/>
      <c r="AX32" s="221">
        <f>ROUND(SUM(AX29:AX31),5)</f>
        <v>3259.76</v>
      </c>
      <c r="AY32" s="211"/>
      <c r="AZ32" s="221">
        <f>ROUND(SUM(AZ29:AZ31),5)</f>
        <v>2836.25</v>
      </c>
      <c r="BA32" s="211"/>
      <c r="BB32" s="221">
        <f>ROUND(SUM(BB29:BB31),5)</f>
        <v>54741.58</v>
      </c>
      <c r="BC32" s="211"/>
      <c r="BD32" s="221">
        <f>ROUND(SUM(BD29:BD31),5)</f>
        <v>4.1900000000000004</v>
      </c>
      <c r="BE32" s="211"/>
      <c r="BF32" s="221">
        <f>ROUND(SUM(BF29:BF31),5)</f>
        <v>0</v>
      </c>
      <c r="BG32" s="211"/>
      <c r="BH32" s="221">
        <f>ROUND(SUM(AV32:BF32),5)</f>
        <v>60841.78</v>
      </c>
      <c r="BI32" s="211"/>
      <c r="BJ32" s="221">
        <f>ROUND(SUM(BJ29:BJ31),5)</f>
        <v>0</v>
      </c>
      <c r="BK32" s="211"/>
      <c r="BL32" s="221">
        <f>BJ32</f>
        <v>0</v>
      </c>
      <c r="BM32" s="211"/>
      <c r="BN32" s="221">
        <f>ROUND(SUM(BN29:BN31),5)</f>
        <v>2884.5</v>
      </c>
      <c r="BO32" s="211"/>
      <c r="BP32" s="221">
        <f>ROUND(SUM(BP29:BP31),5)</f>
        <v>1778.87</v>
      </c>
      <c r="BQ32" s="211"/>
      <c r="BR32" s="221">
        <f>ROUND(SUM(BN32:BP32),5)</f>
        <v>4663.37</v>
      </c>
      <c r="BS32" s="211"/>
      <c r="BT32" s="221">
        <f>ROUND(SUM(BT29:BT31),5)</f>
        <v>7.73</v>
      </c>
      <c r="BU32" s="211"/>
      <c r="BV32" s="221">
        <f>ROUND(SUM(BV29:BV31),5)</f>
        <v>0</v>
      </c>
      <c r="BW32" s="211"/>
      <c r="BX32" s="221">
        <f>ROUND(SUM(BX29:BX31),5)</f>
        <v>0</v>
      </c>
      <c r="BY32" s="211"/>
      <c r="BZ32" s="221">
        <f>ROUND(SUM(BZ29:BZ31),5)</f>
        <v>0</v>
      </c>
      <c r="CA32" s="211"/>
      <c r="CB32" s="221">
        <f>ROUND(SUM(CB29:CB31),5)</f>
        <v>0</v>
      </c>
      <c r="CC32" s="211"/>
      <c r="CD32" s="221">
        <f>ROUND(BH32+BL32+SUM(BR32:CB32),5)</f>
        <v>65512.88</v>
      </c>
      <c r="CE32" s="211"/>
      <c r="CF32" s="221">
        <f>ROUND(SUM(CF29:CF31),5)</f>
        <v>0</v>
      </c>
      <c r="CG32" s="211"/>
      <c r="CH32" s="221">
        <f>ROUND(SUM(H32:N32)+SUM(T32:V32)+AN32+AT32+SUM(CD32:CF32),5)</f>
        <v>71370.61</v>
      </c>
    </row>
    <row r="33" spans="1:86">
      <c r="A33" s="209"/>
      <c r="B33" s="209"/>
      <c r="C33" s="209"/>
      <c r="D33" s="209"/>
      <c r="E33" s="209" t="s">
        <v>127</v>
      </c>
      <c r="F33" s="209"/>
      <c r="G33" s="209"/>
      <c r="H33" s="210">
        <f>ROUND(SUM(H23:H28)+H32,5)</f>
        <v>0</v>
      </c>
      <c r="I33" s="211"/>
      <c r="J33" s="210">
        <f>ROUND(SUM(J23:J28)+J32,5)</f>
        <v>0</v>
      </c>
      <c r="K33" s="211"/>
      <c r="L33" s="210">
        <f>ROUND(SUM(L23:L28)+L32,5)</f>
        <v>0</v>
      </c>
      <c r="M33" s="211"/>
      <c r="N33" s="210">
        <f>ROUND(SUM(N23:N28)+N32,5)</f>
        <v>0</v>
      </c>
      <c r="O33" s="211"/>
      <c r="P33" s="210">
        <f>ROUND(SUM(P23:P28)+P32,5)</f>
        <v>0</v>
      </c>
      <c r="Q33" s="211"/>
      <c r="R33" s="210">
        <f>ROUND(SUM(R23:R28)+R32,5)</f>
        <v>0</v>
      </c>
      <c r="S33" s="211"/>
      <c r="T33" s="210">
        <f>ROUND(SUM(P33:R33),5)</f>
        <v>0</v>
      </c>
      <c r="U33" s="211"/>
      <c r="V33" s="210">
        <f>ROUND(SUM(V23:V28)+V32,5)</f>
        <v>0</v>
      </c>
      <c r="W33" s="211"/>
      <c r="X33" s="210">
        <f>ROUND(SUM(X23:X28)+X32,5)</f>
        <v>0</v>
      </c>
      <c r="Y33" s="211"/>
      <c r="Z33" s="210">
        <f>ROUND(SUM(Z23:Z28)+Z32,5)</f>
        <v>0</v>
      </c>
      <c r="AA33" s="211"/>
      <c r="AB33" s="210">
        <f>ROUND(SUM(AB23:AB28)+AB32,5)</f>
        <v>7094.52</v>
      </c>
      <c r="AC33" s="211"/>
      <c r="AD33" s="210">
        <f>ROUND(SUM(AD23:AD28)+AD32,5)</f>
        <v>7771.02</v>
      </c>
      <c r="AE33" s="211"/>
      <c r="AF33" s="210">
        <f>ROUND(SUM(AF23:AF28)+AF32,5)</f>
        <v>20282.37</v>
      </c>
      <c r="AG33" s="211"/>
      <c r="AH33" s="210">
        <f>ROUND(SUM(AH23:AH28)+AH32,5)</f>
        <v>177</v>
      </c>
      <c r="AI33" s="211"/>
      <c r="AJ33" s="210">
        <f>ROUND(SUM(AJ23:AJ28)+AJ32,5)</f>
        <v>0</v>
      </c>
      <c r="AK33" s="211"/>
      <c r="AL33" s="210">
        <f>ROUND(SUM(AL23:AL28)+AL32,5)</f>
        <v>2207.0300000000002</v>
      </c>
      <c r="AM33" s="211"/>
      <c r="AN33" s="210">
        <f>ROUND(SUM(X33:AL33),5)</f>
        <v>37531.94</v>
      </c>
      <c r="AO33" s="211"/>
      <c r="AP33" s="210">
        <f>ROUND(SUM(AP23:AP28)+AP32,5)</f>
        <v>18401.759999999998</v>
      </c>
      <c r="AQ33" s="211"/>
      <c r="AR33" s="210">
        <f>ROUND(SUM(AR23:AR28)+AR32,5)</f>
        <v>339.34</v>
      </c>
      <c r="AS33" s="211"/>
      <c r="AT33" s="210">
        <f>ROUND(SUM(AP33:AR33),5)</f>
        <v>18741.099999999999</v>
      </c>
      <c r="AU33" s="211"/>
      <c r="AV33" s="210">
        <f>ROUND(SUM(AV23:AV28)+AV32,5)</f>
        <v>48.99</v>
      </c>
      <c r="AW33" s="211"/>
      <c r="AX33" s="210">
        <f>ROUND(SUM(AX23:AX28)+AX32,5)</f>
        <v>37775.370000000003</v>
      </c>
      <c r="AY33" s="211"/>
      <c r="AZ33" s="210">
        <f>ROUND(SUM(AZ23:AZ28)+AZ32,5)</f>
        <v>25424.27</v>
      </c>
      <c r="BA33" s="211"/>
      <c r="BB33" s="210">
        <f>ROUND(SUM(BB23:BB28)+BB32,5)</f>
        <v>300602.59000000003</v>
      </c>
      <c r="BC33" s="211"/>
      <c r="BD33" s="210">
        <f>ROUND(SUM(BD23:BD28)+BD32,5)</f>
        <v>284.29000000000002</v>
      </c>
      <c r="BE33" s="211"/>
      <c r="BF33" s="210">
        <f>ROUND(SUM(BF23:BF28)+BF32,5)</f>
        <v>0</v>
      </c>
      <c r="BG33" s="211"/>
      <c r="BH33" s="210">
        <f>ROUND(SUM(AV33:BF33),5)</f>
        <v>364135.51</v>
      </c>
      <c r="BI33" s="211"/>
      <c r="BJ33" s="210">
        <f>ROUND(SUM(BJ23:BJ28)+BJ32,5)</f>
        <v>0</v>
      </c>
      <c r="BK33" s="211"/>
      <c r="BL33" s="210">
        <f>BJ33</f>
        <v>0</v>
      </c>
      <c r="BM33" s="211"/>
      <c r="BN33" s="210">
        <f>ROUND(SUM(BN23:BN28)+BN32,5)</f>
        <v>33348.14</v>
      </c>
      <c r="BO33" s="211"/>
      <c r="BP33" s="210">
        <f>ROUND(SUM(BP23:BP28)+BP32,5)</f>
        <v>15247.76</v>
      </c>
      <c r="BQ33" s="211"/>
      <c r="BR33" s="210">
        <f>ROUND(SUM(BN33:BP33),5)</f>
        <v>48595.9</v>
      </c>
      <c r="BS33" s="211"/>
      <c r="BT33" s="210">
        <f>ROUND(SUM(BT23:BT28)+BT32,5)</f>
        <v>9.0500000000000007</v>
      </c>
      <c r="BU33" s="211"/>
      <c r="BV33" s="210">
        <f>ROUND(SUM(BV23:BV28)+BV32,5)</f>
        <v>0</v>
      </c>
      <c r="BW33" s="211"/>
      <c r="BX33" s="210">
        <f>ROUND(SUM(BX23:BX28)+BX32,5)</f>
        <v>0</v>
      </c>
      <c r="BY33" s="211"/>
      <c r="BZ33" s="210">
        <f>ROUND(SUM(BZ23:BZ28)+BZ32,5)</f>
        <v>-18.87</v>
      </c>
      <c r="CA33" s="211"/>
      <c r="CB33" s="210">
        <f>ROUND(SUM(CB23:CB28)+CB32,5)</f>
        <v>0</v>
      </c>
      <c r="CC33" s="211"/>
      <c r="CD33" s="210">
        <f>ROUND(BH33+BL33+SUM(BR33:CB33),5)</f>
        <v>412721.59</v>
      </c>
      <c r="CE33" s="211"/>
      <c r="CF33" s="210">
        <f>ROUND(SUM(CF23:CF28)+CF32,5)</f>
        <v>0</v>
      </c>
      <c r="CG33" s="211"/>
      <c r="CH33" s="210">
        <f>ROUND(SUM(H33:N33)+SUM(T33:V33)+AN33+AT33+SUM(CD33:CF33),5)</f>
        <v>468994.63</v>
      </c>
    </row>
    <row r="34" spans="1:86">
      <c r="A34" s="209"/>
      <c r="B34" s="209"/>
      <c r="C34" s="209"/>
      <c r="D34" s="209"/>
      <c r="E34" s="209" t="s">
        <v>77</v>
      </c>
      <c r="F34" s="209"/>
      <c r="G34" s="209"/>
      <c r="H34" s="210"/>
      <c r="I34" s="211"/>
      <c r="J34" s="210"/>
      <c r="K34" s="211"/>
      <c r="L34" s="210"/>
      <c r="M34" s="211"/>
      <c r="N34" s="210"/>
      <c r="O34" s="211"/>
      <c r="P34" s="210"/>
      <c r="Q34" s="211"/>
      <c r="R34" s="210"/>
      <c r="S34" s="211"/>
      <c r="T34" s="210"/>
      <c r="U34" s="211"/>
      <c r="V34" s="210"/>
      <c r="W34" s="211"/>
      <c r="X34" s="210"/>
      <c r="Y34" s="211"/>
      <c r="Z34" s="210"/>
      <c r="AA34" s="211"/>
      <c r="AB34" s="210"/>
      <c r="AC34" s="211"/>
      <c r="AD34" s="210"/>
      <c r="AE34" s="211"/>
      <c r="AF34" s="210"/>
      <c r="AG34" s="211"/>
      <c r="AH34" s="210"/>
      <c r="AI34" s="211"/>
      <c r="AJ34" s="210"/>
      <c r="AK34" s="211"/>
      <c r="AL34" s="210"/>
      <c r="AM34" s="211"/>
      <c r="AN34" s="210"/>
      <c r="AO34" s="211"/>
      <c r="AP34" s="210"/>
      <c r="AQ34" s="211"/>
      <c r="AR34" s="210"/>
      <c r="AS34" s="211"/>
      <c r="AT34" s="210"/>
      <c r="AU34" s="211"/>
      <c r="AV34" s="210"/>
      <c r="AW34" s="211"/>
      <c r="AX34" s="210"/>
      <c r="AY34" s="211"/>
      <c r="AZ34" s="210"/>
      <c r="BA34" s="211"/>
      <c r="BB34" s="210"/>
      <c r="BC34" s="211"/>
      <c r="BD34" s="210"/>
      <c r="BE34" s="211"/>
      <c r="BF34" s="210"/>
      <c r="BG34" s="211"/>
      <c r="BH34" s="210"/>
      <c r="BI34" s="211"/>
      <c r="BJ34" s="210"/>
      <c r="BK34" s="211"/>
      <c r="BL34" s="210"/>
      <c r="BM34" s="211"/>
      <c r="BN34" s="210"/>
      <c r="BO34" s="211"/>
      <c r="BP34" s="210"/>
      <c r="BQ34" s="211"/>
      <c r="BR34" s="210"/>
      <c r="BS34" s="211"/>
      <c r="BT34" s="210"/>
      <c r="BU34" s="211"/>
      <c r="BV34" s="210"/>
      <c r="BW34" s="211"/>
      <c r="BX34" s="210"/>
      <c r="BY34" s="211"/>
      <c r="BZ34" s="210"/>
      <c r="CA34" s="211"/>
      <c r="CB34" s="210"/>
      <c r="CC34" s="211"/>
      <c r="CD34" s="210"/>
      <c r="CE34" s="211"/>
      <c r="CF34" s="210"/>
      <c r="CG34" s="211"/>
      <c r="CH34" s="210"/>
    </row>
    <row r="35" spans="1:86">
      <c r="A35" s="209"/>
      <c r="B35" s="209"/>
      <c r="C35" s="209"/>
      <c r="D35" s="209"/>
      <c r="E35" s="209"/>
      <c r="F35" s="209" t="s">
        <v>119</v>
      </c>
      <c r="G35" s="209"/>
      <c r="H35" s="210">
        <v>0</v>
      </c>
      <c r="I35" s="211"/>
      <c r="J35" s="210">
        <v>0</v>
      </c>
      <c r="K35" s="211"/>
      <c r="L35" s="210">
        <v>0</v>
      </c>
      <c r="M35" s="211"/>
      <c r="N35" s="210">
        <v>0</v>
      </c>
      <c r="O35" s="211"/>
      <c r="P35" s="210">
        <v>0</v>
      </c>
      <c r="Q35" s="211"/>
      <c r="R35" s="210">
        <v>0</v>
      </c>
      <c r="S35" s="211"/>
      <c r="T35" s="210">
        <f t="shared" ref="T35:T41" si="16">ROUND(SUM(P35:R35),5)</f>
        <v>0</v>
      </c>
      <c r="U35" s="211"/>
      <c r="V35" s="210">
        <v>0</v>
      </c>
      <c r="W35" s="211"/>
      <c r="X35" s="210">
        <v>0</v>
      </c>
      <c r="Y35" s="211"/>
      <c r="Z35" s="210">
        <v>0</v>
      </c>
      <c r="AA35" s="211"/>
      <c r="AB35" s="210">
        <v>660.53</v>
      </c>
      <c r="AC35" s="211"/>
      <c r="AD35" s="210">
        <v>115.38</v>
      </c>
      <c r="AE35" s="211"/>
      <c r="AF35" s="210">
        <v>997.31</v>
      </c>
      <c r="AG35" s="211"/>
      <c r="AH35" s="210">
        <v>154.08000000000001</v>
      </c>
      <c r="AI35" s="211"/>
      <c r="AJ35" s="210">
        <v>0</v>
      </c>
      <c r="AK35" s="211"/>
      <c r="AL35" s="210">
        <v>0</v>
      </c>
      <c r="AM35" s="211"/>
      <c r="AN35" s="210">
        <f t="shared" ref="AN35:AN41" si="17">ROUND(SUM(X35:AL35),5)</f>
        <v>1927.3</v>
      </c>
      <c r="AO35" s="211"/>
      <c r="AP35" s="210">
        <v>7669.41</v>
      </c>
      <c r="AQ35" s="211"/>
      <c r="AR35" s="210">
        <v>0</v>
      </c>
      <c r="AS35" s="211"/>
      <c r="AT35" s="210">
        <f t="shared" ref="AT35:AT41" si="18">ROUND(SUM(AP35:AR35),5)</f>
        <v>7669.41</v>
      </c>
      <c r="AU35" s="211"/>
      <c r="AV35" s="210">
        <v>30.78</v>
      </c>
      <c r="AW35" s="211"/>
      <c r="AX35" s="210">
        <v>1136.92</v>
      </c>
      <c r="AY35" s="211"/>
      <c r="AZ35" s="210">
        <v>1619.65</v>
      </c>
      <c r="BA35" s="211"/>
      <c r="BB35" s="210">
        <v>16903.95</v>
      </c>
      <c r="BC35" s="211"/>
      <c r="BD35" s="210">
        <v>359.31</v>
      </c>
      <c r="BE35" s="211"/>
      <c r="BF35" s="210">
        <v>0</v>
      </c>
      <c r="BG35" s="211"/>
      <c r="BH35" s="210">
        <f t="shared" ref="BH35:BH41" si="19">ROUND(SUM(AV35:BF35),5)</f>
        <v>20050.61</v>
      </c>
      <c r="BI35" s="211"/>
      <c r="BJ35" s="210">
        <v>0</v>
      </c>
      <c r="BK35" s="211"/>
      <c r="BL35" s="210">
        <f t="shared" ref="BL35:BL41" si="20">BJ35</f>
        <v>0</v>
      </c>
      <c r="BM35" s="211"/>
      <c r="BN35" s="210">
        <v>5734.73</v>
      </c>
      <c r="BO35" s="211"/>
      <c r="BP35" s="210">
        <v>91.19</v>
      </c>
      <c r="BQ35" s="211"/>
      <c r="BR35" s="210">
        <f t="shared" ref="BR35:BR41" si="21">ROUND(SUM(BN35:BP35),5)</f>
        <v>5825.92</v>
      </c>
      <c r="BS35" s="211"/>
      <c r="BT35" s="210">
        <v>0</v>
      </c>
      <c r="BU35" s="211"/>
      <c r="BV35" s="210">
        <v>0</v>
      </c>
      <c r="BW35" s="211"/>
      <c r="BX35" s="210">
        <v>0</v>
      </c>
      <c r="BY35" s="211"/>
      <c r="BZ35" s="210">
        <v>0</v>
      </c>
      <c r="CA35" s="211"/>
      <c r="CB35" s="210">
        <v>0</v>
      </c>
      <c r="CC35" s="211"/>
      <c r="CD35" s="210">
        <f t="shared" ref="CD35:CD41" si="22">ROUND(BH35+BL35+SUM(BR35:CB35),5)</f>
        <v>25876.53</v>
      </c>
      <c r="CE35" s="211"/>
      <c r="CF35" s="210">
        <v>0</v>
      </c>
      <c r="CG35" s="211"/>
      <c r="CH35" s="210">
        <f t="shared" ref="CH35:CH41" si="23">ROUND(SUM(H35:N35)+SUM(T35:V35)+AN35+AT35+SUM(CD35:CF35),5)</f>
        <v>35473.24</v>
      </c>
    </row>
    <row r="36" spans="1:86">
      <c r="A36" s="209"/>
      <c r="B36" s="209"/>
      <c r="C36" s="209"/>
      <c r="D36" s="209"/>
      <c r="E36" s="209"/>
      <c r="F36" s="209" t="s">
        <v>120</v>
      </c>
      <c r="G36" s="209"/>
      <c r="H36" s="210">
        <v>0</v>
      </c>
      <c r="I36" s="211"/>
      <c r="J36" s="210">
        <v>0</v>
      </c>
      <c r="K36" s="211"/>
      <c r="L36" s="210">
        <v>0</v>
      </c>
      <c r="M36" s="211"/>
      <c r="N36" s="210">
        <v>0</v>
      </c>
      <c r="O36" s="211"/>
      <c r="P36" s="210">
        <v>0</v>
      </c>
      <c r="Q36" s="211"/>
      <c r="R36" s="210">
        <v>0</v>
      </c>
      <c r="S36" s="211"/>
      <c r="T36" s="210">
        <f t="shared" si="16"/>
        <v>0</v>
      </c>
      <c r="U36" s="211"/>
      <c r="V36" s="210">
        <v>0</v>
      </c>
      <c r="W36" s="211"/>
      <c r="X36" s="210">
        <v>0</v>
      </c>
      <c r="Y36" s="211"/>
      <c r="Z36" s="210">
        <v>0</v>
      </c>
      <c r="AA36" s="211"/>
      <c r="AB36" s="210">
        <v>110.93</v>
      </c>
      <c r="AC36" s="211"/>
      <c r="AD36" s="210">
        <v>55.46</v>
      </c>
      <c r="AE36" s="211"/>
      <c r="AF36" s="210">
        <v>0</v>
      </c>
      <c r="AG36" s="211"/>
      <c r="AH36" s="210">
        <v>0</v>
      </c>
      <c r="AI36" s="211"/>
      <c r="AJ36" s="210">
        <v>0</v>
      </c>
      <c r="AK36" s="211"/>
      <c r="AL36" s="210">
        <v>0</v>
      </c>
      <c r="AM36" s="211"/>
      <c r="AN36" s="210">
        <f t="shared" si="17"/>
        <v>166.39</v>
      </c>
      <c r="AO36" s="211"/>
      <c r="AP36" s="210">
        <v>0</v>
      </c>
      <c r="AQ36" s="211"/>
      <c r="AR36" s="210">
        <v>0</v>
      </c>
      <c r="AS36" s="211"/>
      <c r="AT36" s="210">
        <f t="shared" si="18"/>
        <v>0</v>
      </c>
      <c r="AU36" s="211"/>
      <c r="AV36" s="210">
        <v>0</v>
      </c>
      <c r="AW36" s="211"/>
      <c r="AX36" s="210">
        <v>0</v>
      </c>
      <c r="AY36" s="211"/>
      <c r="AZ36" s="210">
        <v>0</v>
      </c>
      <c r="BA36" s="211"/>
      <c r="BB36" s="210">
        <v>5393.07</v>
      </c>
      <c r="BC36" s="211"/>
      <c r="BD36" s="210">
        <v>0</v>
      </c>
      <c r="BE36" s="211"/>
      <c r="BF36" s="210">
        <v>0</v>
      </c>
      <c r="BG36" s="211"/>
      <c r="BH36" s="210">
        <f t="shared" si="19"/>
        <v>5393.07</v>
      </c>
      <c r="BI36" s="211"/>
      <c r="BJ36" s="210">
        <v>0</v>
      </c>
      <c r="BK36" s="211"/>
      <c r="BL36" s="210">
        <f t="shared" si="20"/>
        <v>0</v>
      </c>
      <c r="BM36" s="211"/>
      <c r="BN36" s="210">
        <v>0</v>
      </c>
      <c r="BO36" s="211"/>
      <c r="BP36" s="210">
        <v>0</v>
      </c>
      <c r="BQ36" s="211"/>
      <c r="BR36" s="210">
        <f t="shared" si="21"/>
        <v>0</v>
      </c>
      <c r="BS36" s="211"/>
      <c r="BT36" s="210">
        <v>0</v>
      </c>
      <c r="BU36" s="211"/>
      <c r="BV36" s="210">
        <v>0</v>
      </c>
      <c r="BW36" s="211"/>
      <c r="BX36" s="210">
        <v>0</v>
      </c>
      <c r="BY36" s="211"/>
      <c r="BZ36" s="210">
        <v>0</v>
      </c>
      <c r="CA36" s="211"/>
      <c r="CB36" s="210">
        <v>0</v>
      </c>
      <c r="CC36" s="211"/>
      <c r="CD36" s="210">
        <f t="shared" si="22"/>
        <v>5393.07</v>
      </c>
      <c r="CE36" s="211"/>
      <c r="CF36" s="210">
        <v>0</v>
      </c>
      <c r="CG36" s="211"/>
      <c r="CH36" s="210">
        <f t="shared" si="23"/>
        <v>5559.46</v>
      </c>
    </row>
    <row r="37" spans="1:86">
      <c r="A37" s="209"/>
      <c r="B37" s="209"/>
      <c r="C37" s="209"/>
      <c r="D37" s="209"/>
      <c r="E37" s="209"/>
      <c r="F37" s="209" t="s">
        <v>121</v>
      </c>
      <c r="G37" s="209"/>
      <c r="H37" s="210">
        <v>0</v>
      </c>
      <c r="I37" s="211"/>
      <c r="J37" s="210">
        <v>0</v>
      </c>
      <c r="K37" s="211"/>
      <c r="L37" s="210">
        <v>0</v>
      </c>
      <c r="M37" s="211"/>
      <c r="N37" s="210">
        <v>0</v>
      </c>
      <c r="O37" s="211"/>
      <c r="P37" s="210">
        <v>0</v>
      </c>
      <c r="Q37" s="211"/>
      <c r="R37" s="210">
        <v>0</v>
      </c>
      <c r="S37" s="211"/>
      <c r="T37" s="210">
        <f t="shared" si="16"/>
        <v>0</v>
      </c>
      <c r="U37" s="211"/>
      <c r="V37" s="210">
        <v>0</v>
      </c>
      <c r="W37" s="211"/>
      <c r="X37" s="210">
        <v>0</v>
      </c>
      <c r="Y37" s="211"/>
      <c r="Z37" s="210">
        <v>0</v>
      </c>
      <c r="AA37" s="211"/>
      <c r="AB37" s="210">
        <v>0</v>
      </c>
      <c r="AC37" s="211"/>
      <c r="AD37" s="210">
        <v>0</v>
      </c>
      <c r="AE37" s="211"/>
      <c r="AF37" s="210">
        <v>0</v>
      </c>
      <c r="AG37" s="211"/>
      <c r="AH37" s="210">
        <v>0</v>
      </c>
      <c r="AI37" s="211"/>
      <c r="AJ37" s="210">
        <v>0</v>
      </c>
      <c r="AK37" s="211"/>
      <c r="AL37" s="210">
        <v>0</v>
      </c>
      <c r="AM37" s="211"/>
      <c r="AN37" s="210">
        <f t="shared" si="17"/>
        <v>0</v>
      </c>
      <c r="AO37" s="211"/>
      <c r="AP37" s="210">
        <v>0</v>
      </c>
      <c r="AQ37" s="211"/>
      <c r="AR37" s="210">
        <v>0</v>
      </c>
      <c r="AS37" s="211"/>
      <c r="AT37" s="210">
        <f t="shared" si="18"/>
        <v>0</v>
      </c>
      <c r="AU37" s="211"/>
      <c r="AV37" s="210">
        <v>0</v>
      </c>
      <c r="AW37" s="211"/>
      <c r="AX37" s="210">
        <v>0</v>
      </c>
      <c r="AY37" s="211"/>
      <c r="AZ37" s="210">
        <v>0</v>
      </c>
      <c r="BA37" s="211"/>
      <c r="BB37" s="210">
        <v>0</v>
      </c>
      <c r="BC37" s="211"/>
      <c r="BD37" s="210">
        <v>0</v>
      </c>
      <c r="BE37" s="211"/>
      <c r="BF37" s="210">
        <v>0</v>
      </c>
      <c r="BG37" s="211"/>
      <c r="BH37" s="210">
        <f t="shared" si="19"/>
        <v>0</v>
      </c>
      <c r="BI37" s="211"/>
      <c r="BJ37" s="210">
        <v>0</v>
      </c>
      <c r="BK37" s="211"/>
      <c r="BL37" s="210">
        <f t="shared" si="20"/>
        <v>0</v>
      </c>
      <c r="BM37" s="211"/>
      <c r="BN37" s="210">
        <v>0</v>
      </c>
      <c r="BO37" s="211"/>
      <c r="BP37" s="210">
        <v>22.8</v>
      </c>
      <c r="BQ37" s="211"/>
      <c r="BR37" s="210">
        <f t="shared" si="21"/>
        <v>22.8</v>
      </c>
      <c r="BS37" s="211"/>
      <c r="BT37" s="210">
        <v>0</v>
      </c>
      <c r="BU37" s="211"/>
      <c r="BV37" s="210">
        <v>0</v>
      </c>
      <c r="BW37" s="211"/>
      <c r="BX37" s="210">
        <v>0</v>
      </c>
      <c r="BY37" s="211"/>
      <c r="BZ37" s="210">
        <v>0</v>
      </c>
      <c r="CA37" s="211"/>
      <c r="CB37" s="210">
        <v>0</v>
      </c>
      <c r="CC37" s="211"/>
      <c r="CD37" s="210">
        <f t="shared" si="22"/>
        <v>22.8</v>
      </c>
      <c r="CE37" s="211"/>
      <c r="CF37" s="210">
        <v>0</v>
      </c>
      <c r="CG37" s="211"/>
      <c r="CH37" s="210">
        <f t="shared" si="23"/>
        <v>22.8</v>
      </c>
    </row>
    <row r="38" spans="1:86">
      <c r="A38" s="209"/>
      <c r="B38" s="209"/>
      <c r="C38" s="209"/>
      <c r="D38" s="209"/>
      <c r="E38" s="209"/>
      <c r="F38" s="209" t="s">
        <v>118</v>
      </c>
      <c r="G38" s="209"/>
      <c r="H38" s="210">
        <v>0</v>
      </c>
      <c r="I38" s="211"/>
      <c r="J38" s="210">
        <v>0</v>
      </c>
      <c r="K38" s="211"/>
      <c r="L38" s="210">
        <v>0</v>
      </c>
      <c r="M38" s="211"/>
      <c r="N38" s="210">
        <v>0</v>
      </c>
      <c r="O38" s="211"/>
      <c r="P38" s="210">
        <v>0</v>
      </c>
      <c r="Q38" s="211"/>
      <c r="R38" s="210">
        <v>0</v>
      </c>
      <c r="S38" s="211"/>
      <c r="T38" s="210">
        <f t="shared" si="16"/>
        <v>0</v>
      </c>
      <c r="U38" s="211"/>
      <c r="V38" s="210">
        <v>0</v>
      </c>
      <c r="W38" s="211"/>
      <c r="X38" s="210">
        <v>0</v>
      </c>
      <c r="Y38" s="211"/>
      <c r="Z38" s="210">
        <v>0</v>
      </c>
      <c r="AA38" s="211"/>
      <c r="AB38" s="210">
        <v>406.42</v>
      </c>
      <c r="AC38" s="211"/>
      <c r="AD38" s="210">
        <v>203.21</v>
      </c>
      <c r="AE38" s="211"/>
      <c r="AF38" s="210">
        <v>3909.58</v>
      </c>
      <c r="AG38" s="211"/>
      <c r="AH38" s="210">
        <v>526.62</v>
      </c>
      <c r="AI38" s="211"/>
      <c r="AJ38" s="210">
        <v>0</v>
      </c>
      <c r="AK38" s="211"/>
      <c r="AL38" s="210">
        <v>0</v>
      </c>
      <c r="AM38" s="211"/>
      <c r="AN38" s="210">
        <f t="shared" si="17"/>
        <v>5045.83</v>
      </c>
      <c r="AO38" s="211"/>
      <c r="AP38" s="210">
        <v>8124.46</v>
      </c>
      <c r="AQ38" s="211"/>
      <c r="AR38" s="210">
        <v>0</v>
      </c>
      <c r="AS38" s="211"/>
      <c r="AT38" s="210">
        <f t="shared" si="18"/>
        <v>8124.46</v>
      </c>
      <c r="AU38" s="211"/>
      <c r="AV38" s="210">
        <v>482.99</v>
      </c>
      <c r="AW38" s="211"/>
      <c r="AX38" s="210">
        <v>3939.61</v>
      </c>
      <c r="AY38" s="211"/>
      <c r="AZ38" s="210">
        <v>3717.29</v>
      </c>
      <c r="BA38" s="211"/>
      <c r="BB38" s="210">
        <v>47708.480000000003</v>
      </c>
      <c r="BC38" s="211"/>
      <c r="BD38" s="210">
        <v>2054.3200000000002</v>
      </c>
      <c r="BE38" s="211"/>
      <c r="BF38" s="210">
        <v>0</v>
      </c>
      <c r="BG38" s="211"/>
      <c r="BH38" s="210">
        <f t="shared" si="19"/>
        <v>57902.69</v>
      </c>
      <c r="BI38" s="211"/>
      <c r="BJ38" s="210">
        <v>0</v>
      </c>
      <c r="BK38" s="211"/>
      <c r="BL38" s="210">
        <f t="shared" si="20"/>
        <v>0</v>
      </c>
      <c r="BM38" s="211"/>
      <c r="BN38" s="210">
        <v>8099.48</v>
      </c>
      <c r="BO38" s="211"/>
      <c r="BP38" s="210">
        <v>97.36</v>
      </c>
      <c r="BQ38" s="211"/>
      <c r="BR38" s="210">
        <f t="shared" si="21"/>
        <v>8196.84</v>
      </c>
      <c r="BS38" s="211"/>
      <c r="BT38" s="210">
        <v>0</v>
      </c>
      <c r="BU38" s="211"/>
      <c r="BV38" s="210">
        <v>0</v>
      </c>
      <c r="BW38" s="211"/>
      <c r="BX38" s="210">
        <v>0</v>
      </c>
      <c r="BY38" s="211"/>
      <c r="BZ38" s="210">
        <v>0</v>
      </c>
      <c r="CA38" s="211"/>
      <c r="CB38" s="210">
        <v>0</v>
      </c>
      <c r="CC38" s="211"/>
      <c r="CD38" s="210">
        <f t="shared" si="22"/>
        <v>66099.53</v>
      </c>
      <c r="CE38" s="211"/>
      <c r="CF38" s="210">
        <v>0</v>
      </c>
      <c r="CG38" s="211"/>
      <c r="CH38" s="210">
        <f t="shared" si="23"/>
        <v>79269.820000000007</v>
      </c>
    </row>
    <row r="39" spans="1:86">
      <c r="A39" s="209"/>
      <c r="B39" s="209"/>
      <c r="C39" s="209"/>
      <c r="D39" s="209"/>
      <c r="E39" s="209"/>
      <c r="F39" s="209" t="s">
        <v>123</v>
      </c>
      <c r="G39" s="209"/>
      <c r="H39" s="210">
        <v>0</v>
      </c>
      <c r="I39" s="211"/>
      <c r="J39" s="210">
        <v>0</v>
      </c>
      <c r="K39" s="211"/>
      <c r="L39" s="210">
        <v>0</v>
      </c>
      <c r="M39" s="211"/>
      <c r="N39" s="210">
        <v>0</v>
      </c>
      <c r="O39" s="211"/>
      <c r="P39" s="210">
        <v>0</v>
      </c>
      <c r="Q39" s="211"/>
      <c r="R39" s="210">
        <v>0</v>
      </c>
      <c r="S39" s="211"/>
      <c r="T39" s="210">
        <f t="shared" si="16"/>
        <v>0</v>
      </c>
      <c r="U39" s="211"/>
      <c r="V39" s="210">
        <v>0</v>
      </c>
      <c r="W39" s="211"/>
      <c r="X39" s="210">
        <v>0</v>
      </c>
      <c r="Y39" s="211"/>
      <c r="Z39" s="210">
        <v>0</v>
      </c>
      <c r="AA39" s="211"/>
      <c r="AB39" s="210">
        <v>2.31</v>
      </c>
      <c r="AC39" s="211"/>
      <c r="AD39" s="210">
        <v>0.05</v>
      </c>
      <c r="AE39" s="211"/>
      <c r="AF39" s="210">
        <v>201.4</v>
      </c>
      <c r="AG39" s="211"/>
      <c r="AH39" s="210">
        <v>24.42</v>
      </c>
      <c r="AI39" s="211"/>
      <c r="AJ39" s="210">
        <v>0</v>
      </c>
      <c r="AK39" s="211"/>
      <c r="AL39" s="210">
        <v>0</v>
      </c>
      <c r="AM39" s="211"/>
      <c r="AN39" s="210">
        <f t="shared" si="17"/>
        <v>228.18</v>
      </c>
      <c r="AO39" s="211"/>
      <c r="AP39" s="210">
        <v>22.05</v>
      </c>
      <c r="AQ39" s="211"/>
      <c r="AR39" s="210">
        <v>0</v>
      </c>
      <c r="AS39" s="211"/>
      <c r="AT39" s="210">
        <f t="shared" si="18"/>
        <v>22.05</v>
      </c>
      <c r="AU39" s="211"/>
      <c r="AV39" s="210">
        <v>230.93</v>
      </c>
      <c r="AW39" s="211"/>
      <c r="AX39" s="210">
        <v>15.26</v>
      </c>
      <c r="AY39" s="211"/>
      <c r="AZ39" s="210">
        <v>26.08</v>
      </c>
      <c r="BA39" s="211"/>
      <c r="BB39" s="210">
        <v>143.38999999999999</v>
      </c>
      <c r="BC39" s="211"/>
      <c r="BD39" s="210">
        <v>47.48</v>
      </c>
      <c r="BE39" s="211"/>
      <c r="BF39" s="210">
        <v>0</v>
      </c>
      <c r="BG39" s="211"/>
      <c r="BH39" s="210">
        <f t="shared" si="19"/>
        <v>463.14</v>
      </c>
      <c r="BI39" s="211"/>
      <c r="BJ39" s="210">
        <v>0</v>
      </c>
      <c r="BK39" s="211"/>
      <c r="BL39" s="210">
        <f t="shared" si="20"/>
        <v>0</v>
      </c>
      <c r="BM39" s="211"/>
      <c r="BN39" s="210">
        <v>24.22</v>
      </c>
      <c r="BO39" s="211"/>
      <c r="BP39" s="210">
        <v>0</v>
      </c>
      <c r="BQ39" s="211"/>
      <c r="BR39" s="210">
        <f t="shared" si="21"/>
        <v>24.22</v>
      </c>
      <c r="BS39" s="211"/>
      <c r="BT39" s="210">
        <v>0.13</v>
      </c>
      <c r="BU39" s="211"/>
      <c r="BV39" s="210">
        <v>0</v>
      </c>
      <c r="BW39" s="211"/>
      <c r="BX39" s="210">
        <v>0</v>
      </c>
      <c r="BY39" s="211"/>
      <c r="BZ39" s="210">
        <v>0</v>
      </c>
      <c r="CA39" s="211"/>
      <c r="CB39" s="210">
        <v>0</v>
      </c>
      <c r="CC39" s="211"/>
      <c r="CD39" s="210">
        <f t="shared" si="22"/>
        <v>487.49</v>
      </c>
      <c r="CE39" s="211"/>
      <c r="CF39" s="210">
        <v>0</v>
      </c>
      <c r="CG39" s="211"/>
      <c r="CH39" s="210">
        <f t="shared" si="23"/>
        <v>737.72</v>
      </c>
    </row>
    <row r="40" spans="1:86" ht="15" thickBot="1">
      <c r="A40" s="209"/>
      <c r="B40" s="209"/>
      <c r="C40" s="209"/>
      <c r="D40" s="209"/>
      <c r="E40" s="209"/>
      <c r="F40" s="209" t="s">
        <v>125</v>
      </c>
      <c r="G40" s="209"/>
      <c r="H40" s="213">
        <v>0</v>
      </c>
      <c r="I40" s="211"/>
      <c r="J40" s="213">
        <v>0</v>
      </c>
      <c r="K40" s="211"/>
      <c r="L40" s="213">
        <v>0</v>
      </c>
      <c r="M40" s="211"/>
      <c r="N40" s="213">
        <v>0</v>
      </c>
      <c r="O40" s="211"/>
      <c r="P40" s="213">
        <v>0</v>
      </c>
      <c r="Q40" s="211"/>
      <c r="R40" s="213">
        <v>0</v>
      </c>
      <c r="S40" s="211"/>
      <c r="T40" s="213">
        <f t="shared" si="16"/>
        <v>0</v>
      </c>
      <c r="U40" s="211"/>
      <c r="V40" s="213">
        <v>0</v>
      </c>
      <c r="W40" s="211"/>
      <c r="X40" s="213">
        <v>0</v>
      </c>
      <c r="Y40" s="211"/>
      <c r="Z40" s="213">
        <v>0</v>
      </c>
      <c r="AA40" s="211"/>
      <c r="AB40" s="213">
        <v>0</v>
      </c>
      <c r="AC40" s="211"/>
      <c r="AD40" s="213">
        <v>0</v>
      </c>
      <c r="AE40" s="211"/>
      <c r="AF40" s="213">
        <v>0</v>
      </c>
      <c r="AG40" s="211"/>
      <c r="AH40" s="213">
        <v>0</v>
      </c>
      <c r="AI40" s="211"/>
      <c r="AJ40" s="213">
        <v>0</v>
      </c>
      <c r="AK40" s="211"/>
      <c r="AL40" s="213">
        <v>0</v>
      </c>
      <c r="AM40" s="211"/>
      <c r="AN40" s="213">
        <f t="shared" si="17"/>
        <v>0</v>
      </c>
      <c r="AO40" s="211"/>
      <c r="AP40" s="213">
        <v>0.8</v>
      </c>
      <c r="AQ40" s="211"/>
      <c r="AR40" s="213">
        <v>0</v>
      </c>
      <c r="AS40" s="211"/>
      <c r="AT40" s="213">
        <f t="shared" si="18"/>
        <v>0.8</v>
      </c>
      <c r="AU40" s="211"/>
      <c r="AV40" s="213">
        <v>0</v>
      </c>
      <c r="AW40" s="211"/>
      <c r="AX40" s="213">
        <v>718.48</v>
      </c>
      <c r="AY40" s="211"/>
      <c r="AZ40" s="213">
        <v>47.33</v>
      </c>
      <c r="BA40" s="211"/>
      <c r="BB40" s="213">
        <v>408.81</v>
      </c>
      <c r="BC40" s="211"/>
      <c r="BD40" s="213">
        <v>8.3000000000000007</v>
      </c>
      <c r="BE40" s="211"/>
      <c r="BF40" s="213">
        <v>0</v>
      </c>
      <c r="BG40" s="211"/>
      <c r="BH40" s="213">
        <f t="shared" si="19"/>
        <v>1182.92</v>
      </c>
      <c r="BI40" s="211"/>
      <c r="BJ40" s="213">
        <v>0</v>
      </c>
      <c r="BK40" s="211"/>
      <c r="BL40" s="213">
        <f t="shared" si="20"/>
        <v>0</v>
      </c>
      <c r="BM40" s="211"/>
      <c r="BN40" s="213">
        <v>1862.52</v>
      </c>
      <c r="BO40" s="211"/>
      <c r="BP40" s="213">
        <v>0</v>
      </c>
      <c r="BQ40" s="211"/>
      <c r="BR40" s="213">
        <f t="shared" si="21"/>
        <v>1862.52</v>
      </c>
      <c r="BS40" s="211"/>
      <c r="BT40" s="213">
        <v>0</v>
      </c>
      <c r="BU40" s="211"/>
      <c r="BV40" s="213">
        <v>0</v>
      </c>
      <c r="BW40" s="211"/>
      <c r="BX40" s="213">
        <v>0</v>
      </c>
      <c r="BY40" s="211"/>
      <c r="BZ40" s="213">
        <v>0</v>
      </c>
      <c r="CA40" s="211"/>
      <c r="CB40" s="213">
        <v>0</v>
      </c>
      <c r="CC40" s="211"/>
      <c r="CD40" s="213">
        <f t="shared" si="22"/>
        <v>3045.44</v>
      </c>
      <c r="CE40" s="211"/>
      <c r="CF40" s="213">
        <v>0</v>
      </c>
      <c r="CG40" s="211"/>
      <c r="CH40" s="213">
        <f t="shared" si="23"/>
        <v>3046.24</v>
      </c>
    </row>
    <row r="41" spans="1:86">
      <c r="A41" s="209"/>
      <c r="B41" s="209"/>
      <c r="C41" s="209"/>
      <c r="D41" s="209"/>
      <c r="E41" s="209" t="s">
        <v>128</v>
      </c>
      <c r="F41" s="209"/>
      <c r="G41" s="209"/>
      <c r="H41" s="210">
        <f>ROUND(SUM(H34:H40),5)</f>
        <v>0</v>
      </c>
      <c r="I41" s="211"/>
      <c r="J41" s="210">
        <f>ROUND(SUM(J34:J40),5)</f>
        <v>0</v>
      </c>
      <c r="K41" s="211"/>
      <c r="L41" s="210">
        <f>ROUND(SUM(L34:L40),5)</f>
        <v>0</v>
      </c>
      <c r="M41" s="211"/>
      <c r="N41" s="210">
        <f>ROUND(SUM(N34:N40),5)</f>
        <v>0</v>
      </c>
      <c r="O41" s="211"/>
      <c r="P41" s="210">
        <f>ROUND(SUM(P34:P40),5)</f>
        <v>0</v>
      </c>
      <c r="Q41" s="211"/>
      <c r="R41" s="210">
        <f>ROUND(SUM(R34:R40),5)</f>
        <v>0</v>
      </c>
      <c r="S41" s="211"/>
      <c r="T41" s="210">
        <f t="shared" si="16"/>
        <v>0</v>
      </c>
      <c r="U41" s="211"/>
      <c r="V41" s="210">
        <f>ROUND(SUM(V34:V40),5)</f>
        <v>0</v>
      </c>
      <c r="W41" s="211"/>
      <c r="X41" s="210">
        <f>ROUND(SUM(X34:X40),5)</f>
        <v>0</v>
      </c>
      <c r="Y41" s="211"/>
      <c r="Z41" s="210">
        <f>ROUND(SUM(Z34:Z40),5)</f>
        <v>0</v>
      </c>
      <c r="AA41" s="211"/>
      <c r="AB41" s="210">
        <f>ROUND(SUM(AB34:AB40),5)</f>
        <v>1180.19</v>
      </c>
      <c r="AC41" s="211"/>
      <c r="AD41" s="210">
        <f>ROUND(SUM(AD34:AD40),5)</f>
        <v>374.1</v>
      </c>
      <c r="AE41" s="211"/>
      <c r="AF41" s="210">
        <f>ROUND(SUM(AF34:AF40),5)</f>
        <v>5108.29</v>
      </c>
      <c r="AG41" s="211"/>
      <c r="AH41" s="210">
        <f>ROUND(SUM(AH34:AH40),5)</f>
        <v>705.12</v>
      </c>
      <c r="AI41" s="211"/>
      <c r="AJ41" s="210">
        <f>ROUND(SUM(AJ34:AJ40),5)</f>
        <v>0</v>
      </c>
      <c r="AK41" s="211"/>
      <c r="AL41" s="210">
        <f>ROUND(SUM(AL34:AL40),5)</f>
        <v>0</v>
      </c>
      <c r="AM41" s="211"/>
      <c r="AN41" s="210">
        <f t="shared" si="17"/>
        <v>7367.7</v>
      </c>
      <c r="AO41" s="211"/>
      <c r="AP41" s="210">
        <f>ROUND(SUM(AP34:AP40),5)</f>
        <v>15816.72</v>
      </c>
      <c r="AQ41" s="211"/>
      <c r="AR41" s="210">
        <f>ROUND(SUM(AR34:AR40),5)</f>
        <v>0</v>
      </c>
      <c r="AS41" s="211"/>
      <c r="AT41" s="210">
        <f t="shared" si="18"/>
        <v>15816.72</v>
      </c>
      <c r="AU41" s="211"/>
      <c r="AV41" s="210">
        <f>ROUND(SUM(AV34:AV40),5)</f>
        <v>744.7</v>
      </c>
      <c r="AW41" s="211"/>
      <c r="AX41" s="210">
        <f>ROUND(SUM(AX34:AX40),5)</f>
        <v>5810.27</v>
      </c>
      <c r="AY41" s="211"/>
      <c r="AZ41" s="210">
        <f>ROUND(SUM(AZ34:AZ40),5)</f>
        <v>5410.35</v>
      </c>
      <c r="BA41" s="211"/>
      <c r="BB41" s="210">
        <f>ROUND(SUM(BB34:BB40),5)</f>
        <v>70557.7</v>
      </c>
      <c r="BC41" s="211"/>
      <c r="BD41" s="210">
        <f>ROUND(SUM(BD34:BD40),5)</f>
        <v>2469.41</v>
      </c>
      <c r="BE41" s="211"/>
      <c r="BF41" s="210">
        <f>ROUND(SUM(BF34:BF40),5)</f>
        <v>0</v>
      </c>
      <c r="BG41" s="211"/>
      <c r="BH41" s="210">
        <f t="shared" si="19"/>
        <v>84992.43</v>
      </c>
      <c r="BI41" s="211"/>
      <c r="BJ41" s="210">
        <f>ROUND(SUM(BJ34:BJ40),5)</f>
        <v>0</v>
      </c>
      <c r="BK41" s="211"/>
      <c r="BL41" s="210">
        <f t="shared" si="20"/>
        <v>0</v>
      </c>
      <c r="BM41" s="211"/>
      <c r="BN41" s="210">
        <f>ROUND(SUM(BN34:BN40),5)</f>
        <v>15720.95</v>
      </c>
      <c r="BO41" s="211"/>
      <c r="BP41" s="210">
        <f>ROUND(SUM(BP34:BP40),5)</f>
        <v>211.35</v>
      </c>
      <c r="BQ41" s="211"/>
      <c r="BR41" s="210">
        <f t="shared" si="21"/>
        <v>15932.3</v>
      </c>
      <c r="BS41" s="211"/>
      <c r="BT41" s="210">
        <f>ROUND(SUM(BT34:BT40),5)</f>
        <v>0.13</v>
      </c>
      <c r="BU41" s="211"/>
      <c r="BV41" s="210">
        <f>ROUND(SUM(BV34:BV40),5)</f>
        <v>0</v>
      </c>
      <c r="BW41" s="211"/>
      <c r="BX41" s="210">
        <f>ROUND(SUM(BX34:BX40),5)</f>
        <v>0</v>
      </c>
      <c r="BY41" s="211"/>
      <c r="BZ41" s="210">
        <f>ROUND(SUM(BZ34:BZ40),5)</f>
        <v>0</v>
      </c>
      <c r="CA41" s="211"/>
      <c r="CB41" s="210">
        <f>ROUND(SUM(CB34:CB40),5)</f>
        <v>0</v>
      </c>
      <c r="CC41" s="211"/>
      <c r="CD41" s="210">
        <f t="shared" si="22"/>
        <v>100924.86</v>
      </c>
      <c r="CE41" s="211"/>
      <c r="CF41" s="210">
        <f>ROUND(SUM(CF34:CF40),5)</f>
        <v>0</v>
      </c>
      <c r="CG41" s="211"/>
      <c r="CH41" s="210">
        <f t="shared" si="23"/>
        <v>124109.28</v>
      </c>
    </row>
    <row r="42" spans="1:86">
      <c r="A42" s="209"/>
      <c r="B42" s="209"/>
      <c r="C42" s="209"/>
      <c r="D42" s="209"/>
      <c r="E42" s="209" t="s">
        <v>78</v>
      </c>
      <c r="F42" s="209"/>
      <c r="G42" s="209"/>
      <c r="H42" s="210"/>
      <c r="I42" s="211"/>
      <c r="J42" s="210"/>
      <c r="K42" s="211"/>
      <c r="L42" s="210"/>
      <c r="M42" s="211"/>
      <c r="N42" s="210"/>
      <c r="O42" s="211"/>
      <c r="P42" s="210"/>
      <c r="Q42" s="211"/>
      <c r="R42" s="210"/>
      <c r="S42" s="211"/>
      <c r="T42" s="210"/>
      <c r="U42" s="211"/>
      <c r="V42" s="210"/>
      <c r="W42" s="211"/>
      <c r="X42" s="210"/>
      <c r="Y42" s="211"/>
      <c r="Z42" s="210"/>
      <c r="AA42" s="211"/>
      <c r="AB42" s="210"/>
      <c r="AC42" s="211"/>
      <c r="AD42" s="210"/>
      <c r="AE42" s="211"/>
      <c r="AF42" s="210"/>
      <c r="AG42" s="211"/>
      <c r="AH42" s="210"/>
      <c r="AI42" s="211"/>
      <c r="AJ42" s="210"/>
      <c r="AK42" s="211"/>
      <c r="AL42" s="210"/>
      <c r="AM42" s="211"/>
      <c r="AN42" s="210"/>
      <c r="AO42" s="211"/>
      <c r="AP42" s="210"/>
      <c r="AQ42" s="211"/>
      <c r="AR42" s="210"/>
      <c r="AS42" s="211"/>
      <c r="AT42" s="210"/>
      <c r="AU42" s="211"/>
      <c r="AV42" s="210"/>
      <c r="AW42" s="211"/>
      <c r="AX42" s="210"/>
      <c r="AY42" s="211"/>
      <c r="AZ42" s="210"/>
      <c r="BA42" s="211"/>
      <c r="BB42" s="210"/>
      <c r="BC42" s="211"/>
      <c r="BD42" s="210"/>
      <c r="BE42" s="211"/>
      <c r="BF42" s="210"/>
      <c r="BG42" s="211"/>
      <c r="BH42" s="210"/>
      <c r="BI42" s="211"/>
      <c r="BJ42" s="210"/>
      <c r="BK42" s="211"/>
      <c r="BL42" s="210"/>
      <c r="BM42" s="211"/>
      <c r="BN42" s="210"/>
      <c r="BO42" s="211"/>
      <c r="BP42" s="210"/>
      <c r="BQ42" s="211"/>
      <c r="BR42" s="210"/>
      <c r="BS42" s="211"/>
      <c r="BT42" s="210"/>
      <c r="BU42" s="211"/>
      <c r="BV42" s="210"/>
      <c r="BW42" s="211"/>
      <c r="BX42" s="210"/>
      <c r="BY42" s="211"/>
      <c r="BZ42" s="210"/>
      <c r="CA42" s="211"/>
      <c r="CB42" s="210"/>
      <c r="CC42" s="211"/>
      <c r="CD42" s="210"/>
      <c r="CE42" s="211"/>
      <c r="CF42" s="210"/>
      <c r="CG42" s="211"/>
      <c r="CH42" s="210"/>
    </row>
    <row r="43" spans="1:86">
      <c r="A43" s="209"/>
      <c r="B43" s="209"/>
      <c r="C43" s="209"/>
      <c r="D43" s="209"/>
      <c r="E43" s="209"/>
      <c r="F43" s="209" t="s">
        <v>137</v>
      </c>
      <c r="G43" s="209"/>
      <c r="H43" s="210"/>
      <c r="I43" s="211"/>
      <c r="J43" s="210"/>
      <c r="K43" s="211"/>
      <c r="L43" s="210"/>
      <c r="M43" s="211"/>
      <c r="N43" s="210"/>
      <c r="O43" s="211"/>
      <c r="P43" s="210"/>
      <c r="Q43" s="211"/>
      <c r="R43" s="210"/>
      <c r="S43" s="211"/>
      <c r="T43" s="210"/>
      <c r="U43" s="211"/>
      <c r="V43" s="210"/>
      <c r="W43" s="211"/>
      <c r="X43" s="210"/>
      <c r="Y43" s="211"/>
      <c r="Z43" s="210"/>
      <c r="AA43" s="211"/>
      <c r="AB43" s="210"/>
      <c r="AC43" s="211"/>
      <c r="AD43" s="210"/>
      <c r="AE43" s="211"/>
      <c r="AF43" s="210"/>
      <c r="AG43" s="211"/>
      <c r="AH43" s="210"/>
      <c r="AI43" s="211"/>
      <c r="AJ43" s="210"/>
      <c r="AK43" s="211"/>
      <c r="AL43" s="210"/>
      <c r="AM43" s="211"/>
      <c r="AN43" s="210"/>
      <c r="AO43" s="211"/>
      <c r="AP43" s="210"/>
      <c r="AQ43" s="211"/>
      <c r="AR43" s="210"/>
      <c r="AS43" s="211"/>
      <c r="AT43" s="210"/>
      <c r="AU43" s="211"/>
      <c r="AV43" s="210"/>
      <c r="AW43" s="211"/>
      <c r="AX43" s="210"/>
      <c r="AY43" s="211"/>
      <c r="AZ43" s="210"/>
      <c r="BA43" s="211"/>
      <c r="BB43" s="210"/>
      <c r="BC43" s="211"/>
      <c r="BD43" s="210"/>
      <c r="BE43" s="211"/>
      <c r="BF43" s="210"/>
      <c r="BG43" s="211"/>
      <c r="BH43" s="210"/>
      <c r="BI43" s="211"/>
      <c r="BJ43" s="210"/>
      <c r="BK43" s="211"/>
      <c r="BL43" s="210"/>
      <c r="BM43" s="211"/>
      <c r="BN43" s="210"/>
      <c r="BO43" s="211"/>
      <c r="BP43" s="210"/>
      <c r="BQ43" s="211"/>
      <c r="BR43" s="210"/>
      <c r="BS43" s="211"/>
      <c r="BT43" s="210"/>
      <c r="BU43" s="211"/>
      <c r="BV43" s="210"/>
      <c r="BW43" s="211"/>
      <c r="BX43" s="210"/>
      <c r="BY43" s="211"/>
      <c r="BZ43" s="210"/>
      <c r="CA43" s="211"/>
      <c r="CB43" s="210"/>
      <c r="CC43" s="211"/>
      <c r="CD43" s="210"/>
      <c r="CE43" s="211"/>
      <c r="CF43" s="210"/>
      <c r="CG43" s="211"/>
      <c r="CH43" s="210"/>
    </row>
    <row r="44" spans="1:86">
      <c r="A44" s="209"/>
      <c r="B44" s="209"/>
      <c r="C44" s="209"/>
      <c r="D44" s="209"/>
      <c r="E44" s="209"/>
      <c r="F44" s="209"/>
      <c r="G44" s="209" t="s">
        <v>138</v>
      </c>
      <c r="H44" s="210">
        <v>0</v>
      </c>
      <c r="I44" s="211"/>
      <c r="J44" s="210">
        <v>0</v>
      </c>
      <c r="K44" s="211"/>
      <c r="L44" s="210">
        <v>0</v>
      </c>
      <c r="M44" s="211"/>
      <c r="N44" s="210">
        <v>0</v>
      </c>
      <c r="O44" s="211"/>
      <c r="P44" s="210">
        <v>0</v>
      </c>
      <c r="Q44" s="211"/>
      <c r="R44" s="210">
        <v>0</v>
      </c>
      <c r="S44" s="211"/>
      <c r="T44" s="210">
        <f>ROUND(SUM(P44:R44),5)</f>
        <v>0</v>
      </c>
      <c r="U44" s="211"/>
      <c r="V44" s="210">
        <v>0</v>
      </c>
      <c r="W44" s="211"/>
      <c r="X44" s="210">
        <v>0</v>
      </c>
      <c r="Y44" s="211"/>
      <c r="Z44" s="210">
        <v>0</v>
      </c>
      <c r="AA44" s="211"/>
      <c r="AB44" s="210">
        <v>932.1</v>
      </c>
      <c r="AC44" s="211"/>
      <c r="AD44" s="210">
        <v>1402.55</v>
      </c>
      <c r="AE44" s="211"/>
      <c r="AF44" s="210">
        <v>7958.28</v>
      </c>
      <c r="AG44" s="211"/>
      <c r="AH44" s="210">
        <v>594.55999999999995</v>
      </c>
      <c r="AI44" s="211"/>
      <c r="AJ44" s="210">
        <v>0</v>
      </c>
      <c r="AK44" s="211"/>
      <c r="AL44" s="210">
        <v>139.86000000000001</v>
      </c>
      <c r="AM44" s="211"/>
      <c r="AN44" s="210">
        <f>ROUND(SUM(X44:AL44),5)</f>
        <v>11027.35</v>
      </c>
      <c r="AO44" s="211"/>
      <c r="AP44" s="210">
        <v>27461.43</v>
      </c>
      <c r="AQ44" s="211"/>
      <c r="AR44" s="210">
        <v>0</v>
      </c>
      <c r="AS44" s="211"/>
      <c r="AT44" s="210">
        <f>ROUND(SUM(AP44:AR44),5)</f>
        <v>27461.43</v>
      </c>
      <c r="AU44" s="211"/>
      <c r="AV44" s="210">
        <v>1990.84</v>
      </c>
      <c r="AW44" s="211"/>
      <c r="AX44" s="210">
        <v>29619.41</v>
      </c>
      <c r="AY44" s="211"/>
      <c r="AZ44" s="210">
        <v>7631.03</v>
      </c>
      <c r="BA44" s="211"/>
      <c r="BB44" s="210">
        <v>61201.02</v>
      </c>
      <c r="BC44" s="211"/>
      <c r="BD44" s="210">
        <v>2029.15</v>
      </c>
      <c r="BE44" s="211"/>
      <c r="BF44" s="210">
        <v>0</v>
      </c>
      <c r="BG44" s="211"/>
      <c r="BH44" s="210">
        <f>ROUND(SUM(AV44:BF44),5)</f>
        <v>102471.45</v>
      </c>
      <c r="BI44" s="211"/>
      <c r="BJ44" s="210">
        <v>0</v>
      </c>
      <c r="BK44" s="211"/>
      <c r="BL44" s="210">
        <f>BJ44</f>
        <v>0</v>
      </c>
      <c r="BM44" s="211"/>
      <c r="BN44" s="210">
        <v>21495.89</v>
      </c>
      <c r="BO44" s="211"/>
      <c r="BP44" s="210">
        <v>1649.97</v>
      </c>
      <c r="BQ44" s="211"/>
      <c r="BR44" s="210">
        <f>ROUND(SUM(BN44:BP44),5)</f>
        <v>23145.86</v>
      </c>
      <c r="BS44" s="211"/>
      <c r="BT44" s="210">
        <v>50948.4</v>
      </c>
      <c r="BU44" s="211"/>
      <c r="BV44" s="210">
        <v>0</v>
      </c>
      <c r="BW44" s="211"/>
      <c r="BX44" s="210">
        <v>0</v>
      </c>
      <c r="BY44" s="211"/>
      <c r="BZ44" s="210">
        <v>0</v>
      </c>
      <c r="CA44" s="211"/>
      <c r="CB44" s="210">
        <v>0</v>
      </c>
      <c r="CC44" s="211"/>
      <c r="CD44" s="210">
        <f>ROUND(BH44+BL44+SUM(BR44:CB44),5)</f>
        <v>176565.71</v>
      </c>
      <c r="CE44" s="211"/>
      <c r="CF44" s="210">
        <v>0</v>
      </c>
      <c r="CG44" s="211"/>
      <c r="CH44" s="210">
        <f>ROUND(SUM(H44:N44)+SUM(T44:V44)+AN44+AT44+SUM(CD44:CF44),5)</f>
        <v>215054.49</v>
      </c>
    </row>
    <row r="45" spans="1:86">
      <c r="A45" s="209"/>
      <c r="B45" s="209"/>
      <c r="C45" s="209"/>
      <c r="D45" s="209"/>
      <c r="E45" s="209"/>
      <c r="F45" s="209"/>
      <c r="G45" s="209" t="s">
        <v>141</v>
      </c>
      <c r="H45" s="210">
        <v>0</v>
      </c>
      <c r="I45" s="211"/>
      <c r="J45" s="210">
        <v>0</v>
      </c>
      <c r="K45" s="211"/>
      <c r="L45" s="210">
        <v>0</v>
      </c>
      <c r="M45" s="211"/>
      <c r="N45" s="210">
        <v>0</v>
      </c>
      <c r="O45" s="211"/>
      <c r="P45" s="210">
        <v>0</v>
      </c>
      <c r="Q45" s="211"/>
      <c r="R45" s="210">
        <v>0</v>
      </c>
      <c r="S45" s="211"/>
      <c r="T45" s="210">
        <f>ROUND(SUM(P45:R45),5)</f>
        <v>0</v>
      </c>
      <c r="U45" s="211"/>
      <c r="V45" s="210">
        <v>0</v>
      </c>
      <c r="W45" s="211"/>
      <c r="X45" s="210">
        <v>0</v>
      </c>
      <c r="Y45" s="211"/>
      <c r="Z45" s="210">
        <v>0</v>
      </c>
      <c r="AA45" s="211"/>
      <c r="AB45" s="210">
        <v>18.829999999999998</v>
      </c>
      <c r="AC45" s="211"/>
      <c r="AD45" s="210">
        <v>26.1</v>
      </c>
      <c r="AE45" s="211"/>
      <c r="AF45" s="210">
        <v>10.93</v>
      </c>
      <c r="AG45" s="211"/>
      <c r="AH45" s="210">
        <v>4.75</v>
      </c>
      <c r="AI45" s="211"/>
      <c r="AJ45" s="210">
        <v>0</v>
      </c>
      <c r="AK45" s="211"/>
      <c r="AL45" s="210">
        <v>19.37</v>
      </c>
      <c r="AM45" s="211"/>
      <c r="AN45" s="210">
        <f>ROUND(SUM(X45:AL45),5)</f>
        <v>79.98</v>
      </c>
      <c r="AO45" s="211"/>
      <c r="AP45" s="210">
        <v>456.04</v>
      </c>
      <c r="AQ45" s="211"/>
      <c r="AR45" s="210">
        <v>551.82000000000005</v>
      </c>
      <c r="AS45" s="211"/>
      <c r="AT45" s="210">
        <f>ROUND(SUM(AP45:AR45),5)</f>
        <v>1007.86</v>
      </c>
      <c r="AU45" s="211"/>
      <c r="AV45" s="210">
        <v>0.24</v>
      </c>
      <c r="AW45" s="211"/>
      <c r="AX45" s="210">
        <v>579.54999999999995</v>
      </c>
      <c r="AY45" s="211"/>
      <c r="AZ45" s="210">
        <v>197.32</v>
      </c>
      <c r="BA45" s="211"/>
      <c r="BB45" s="210">
        <v>822.98</v>
      </c>
      <c r="BC45" s="211"/>
      <c r="BD45" s="210">
        <v>0.18</v>
      </c>
      <c r="BE45" s="211"/>
      <c r="BF45" s="210">
        <v>0</v>
      </c>
      <c r="BG45" s="211"/>
      <c r="BH45" s="210">
        <f>ROUND(SUM(AV45:BF45),5)</f>
        <v>1600.27</v>
      </c>
      <c r="BI45" s="211"/>
      <c r="BJ45" s="210">
        <v>0</v>
      </c>
      <c r="BK45" s="211"/>
      <c r="BL45" s="210">
        <f>BJ45</f>
        <v>0</v>
      </c>
      <c r="BM45" s="211"/>
      <c r="BN45" s="210">
        <v>1389.95</v>
      </c>
      <c r="BO45" s="211"/>
      <c r="BP45" s="210">
        <v>677.46</v>
      </c>
      <c r="BQ45" s="211"/>
      <c r="BR45" s="210">
        <f>ROUND(SUM(BN45:BP45),5)</f>
        <v>2067.41</v>
      </c>
      <c r="BS45" s="211"/>
      <c r="BT45" s="210">
        <v>3154.47</v>
      </c>
      <c r="BU45" s="211"/>
      <c r="BV45" s="210">
        <v>0</v>
      </c>
      <c r="BW45" s="211"/>
      <c r="BX45" s="210">
        <v>2490.8200000000002</v>
      </c>
      <c r="BY45" s="211"/>
      <c r="BZ45" s="210">
        <v>1006.19</v>
      </c>
      <c r="CA45" s="211"/>
      <c r="CB45" s="210">
        <v>0</v>
      </c>
      <c r="CC45" s="211"/>
      <c r="CD45" s="210">
        <f>ROUND(BH45+BL45+SUM(BR45:CB45),5)</f>
        <v>10319.16</v>
      </c>
      <c r="CE45" s="211"/>
      <c r="CF45" s="210">
        <v>3.89</v>
      </c>
      <c r="CG45" s="211"/>
      <c r="CH45" s="210">
        <f>ROUND(SUM(H45:N45)+SUM(T45:V45)+AN45+AT45+SUM(CD45:CF45),5)</f>
        <v>11410.89</v>
      </c>
    </row>
    <row r="46" spans="1:86">
      <c r="A46" s="209"/>
      <c r="B46" s="209"/>
      <c r="C46" s="209"/>
      <c r="D46" s="209"/>
      <c r="E46" s="209"/>
      <c r="F46" s="209"/>
      <c r="G46" s="209" t="s">
        <v>143</v>
      </c>
      <c r="H46" s="210">
        <v>0</v>
      </c>
      <c r="I46" s="211"/>
      <c r="J46" s="210">
        <v>0</v>
      </c>
      <c r="K46" s="211"/>
      <c r="L46" s="210">
        <v>0</v>
      </c>
      <c r="M46" s="211"/>
      <c r="N46" s="210">
        <v>0</v>
      </c>
      <c r="O46" s="211"/>
      <c r="P46" s="210">
        <v>0</v>
      </c>
      <c r="Q46" s="211"/>
      <c r="R46" s="210">
        <v>0</v>
      </c>
      <c r="S46" s="211"/>
      <c r="T46" s="210">
        <f>ROUND(SUM(P46:R46),5)</f>
        <v>0</v>
      </c>
      <c r="U46" s="211"/>
      <c r="V46" s="210">
        <v>0</v>
      </c>
      <c r="W46" s="211"/>
      <c r="X46" s="210">
        <v>0</v>
      </c>
      <c r="Y46" s="211"/>
      <c r="Z46" s="210">
        <v>0</v>
      </c>
      <c r="AA46" s="211"/>
      <c r="AB46" s="210">
        <v>1.56</v>
      </c>
      <c r="AC46" s="211"/>
      <c r="AD46" s="210">
        <v>0</v>
      </c>
      <c r="AE46" s="211"/>
      <c r="AF46" s="210">
        <v>23.06</v>
      </c>
      <c r="AG46" s="211"/>
      <c r="AH46" s="210">
        <v>2.17</v>
      </c>
      <c r="AI46" s="211"/>
      <c r="AJ46" s="210">
        <v>19.73</v>
      </c>
      <c r="AK46" s="211"/>
      <c r="AL46" s="210">
        <v>2.67</v>
      </c>
      <c r="AM46" s="211"/>
      <c r="AN46" s="210">
        <f>ROUND(SUM(X46:AL46),5)</f>
        <v>49.19</v>
      </c>
      <c r="AO46" s="211"/>
      <c r="AP46" s="210">
        <v>1296.1500000000001</v>
      </c>
      <c r="AQ46" s="211"/>
      <c r="AR46" s="210">
        <v>0</v>
      </c>
      <c r="AS46" s="211"/>
      <c r="AT46" s="210">
        <f>ROUND(SUM(AP46:AR46),5)</f>
        <v>1296.1500000000001</v>
      </c>
      <c r="AU46" s="211"/>
      <c r="AV46" s="210">
        <v>0.73</v>
      </c>
      <c r="AW46" s="211"/>
      <c r="AX46" s="210">
        <v>141.68</v>
      </c>
      <c r="AY46" s="211"/>
      <c r="AZ46" s="210">
        <v>82.41</v>
      </c>
      <c r="BA46" s="211"/>
      <c r="BB46" s="210">
        <v>366.41</v>
      </c>
      <c r="BC46" s="211"/>
      <c r="BD46" s="210">
        <v>5.43</v>
      </c>
      <c r="BE46" s="211"/>
      <c r="BF46" s="210">
        <v>0</v>
      </c>
      <c r="BG46" s="211"/>
      <c r="BH46" s="210">
        <f>ROUND(SUM(AV46:BF46),5)</f>
        <v>596.66</v>
      </c>
      <c r="BI46" s="211"/>
      <c r="BJ46" s="210">
        <v>0</v>
      </c>
      <c r="BK46" s="211"/>
      <c r="BL46" s="210">
        <f>BJ46</f>
        <v>0</v>
      </c>
      <c r="BM46" s="211"/>
      <c r="BN46" s="210">
        <v>33.11</v>
      </c>
      <c r="BO46" s="211"/>
      <c r="BP46" s="210">
        <v>19.89</v>
      </c>
      <c r="BQ46" s="211"/>
      <c r="BR46" s="210">
        <f>ROUND(SUM(BN46:BP46),5)</f>
        <v>53</v>
      </c>
      <c r="BS46" s="211"/>
      <c r="BT46" s="210">
        <v>4.16</v>
      </c>
      <c r="BU46" s="211"/>
      <c r="BV46" s="210">
        <v>0</v>
      </c>
      <c r="BW46" s="211"/>
      <c r="BX46" s="210">
        <v>0</v>
      </c>
      <c r="BY46" s="211"/>
      <c r="BZ46" s="210">
        <v>0</v>
      </c>
      <c r="CA46" s="211"/>
      <c r="CB46" s="210">
        <v>0</v>
      </c>
      <c r="CC46" s="211"/>
      <c r="CD46" s="210">
        <f>ROUND(BH46+BL46+SUM(BR46:CB46),5)</f>
        <v>653.82000000000005</v>
      </c>
      <c r="CE46" s="211"/>
      <c r="CF46" s="210">
        <v>0</v>
      </c>
      <c r="CG46" s="211"/>
      <c r="CH46" s="210">
        <f>ROUND(SUM(H46:N46)+SUM(T46:V46)+AN46+AT46+SUM(CD46:CF46),5)</f>
        <v>1999.16</v>
      </c>
    </row>
    <row r="47" spans="1:86" ht="15" thickBot="1">
      <c r="A47" s="209"/>
      <c r="B47" s="209"/>
      <c r="C47" s="209"/>
      <c r="D47" s="209"/>
      <c r="E47" s="209"/>
      <c r="F47" s="209"/>
      <c r="G47" s="209" t="s">
        <v>144</v>
      </c>
      <c r="H47" s="213">
        <v>0</v>
      </c>
      <c r="I47" s="211"/>
      <c r="J47" s="213">
        <v>0</v>
      </c>
      <c r="K47" s="211"/>
      <c r="L47" s="213">
        <v>0</v>
      </c>
      <c r="M47" s="211"/>
      <c r="N47" s="213">
        <v>0</v>
      </c>
      <c r="O47" s="211"/>
      <c r="P47" s="213">
        <v>0</v>
      </c>
      <c r="Q47" s="211"/>
      <c r="R47" s="213">
        <v>0</v>
      </c>
      <c r="S47" s="211"/>
      <c r="T47" s="213">
        <f>ROUND(SUM(P47:R47),5)</f>
        <v>0</v>
      </c>
      <c r="U47" s="211"/>
      <c r="V47" s="213">
        <v>0</v>
      </c>
      <c r="W47" s="211"/>
      <c r="X47" s="213">
        <v>0</v>
      </c>
      <c r="Y47" s="211"/>
      <c r="Z47" s="213">
        <v>0</v>
      </c>
      <c r="AA47" s="211"/>
      <c r="AB47" s="213">
        <v>11.52</v>
      </c>
      <c r="AC47" s="211"/>
      <c r="AD47" s="213">
        <v>14.7</v>
      </c>
      <c r="AE47" s="211"/>
      <c r="AF47" s="213">
        <v>123.98</v>
      </c>
      <c r="AG47" s="211"/>
      <c r="AH47" s="213">
        <v>20.57</v>
      </c>
      <c r="AI47" s="211"/>
      <c r="AJ47" s="213">
        <v>0</v>
      </c>
      <c r="AK47" s="211"/>
      <c r="AL47" s="213">
        <v>59.7</v>
      </c>
      <c r="AM47" s="211"/>
      <c r="AN47" s="213">
        <f>ROUND(SUM(X47:AL47),5)</f>
        <v>230.47</v>
      </c>
      <c r="AO47" s="211"/>
      <c r="AP47" s="213">
        <v>78.23</v>
      </c>
      <c r="AQ47" s="211"/>
      <c r="AR47" s="213">
        <v>0</v>
      </c>
      <c r="AS47" s="211"/>
      <c r="AT47" s="213">
        <f>ROUND(SUM(AP47:AR47),5)</f>
        <v>78.23</v>
      </c>
      <c r="AU47" s="211"/>
      <c r="AV47" s="213">
        <v>0</v>
      </c>
      <c r="AW47" s="211"/>
      <c r="AX47" s="213">
        <v>664.59</v>
      </c>
      <c r="AY47" s="211"/>
      <c r="AZ47" s="213">
        <v>504.01</v>
      </c>
      <c r="BA47" s="211"/>
      <c r="BB47" s="213">
        <v>1109.68</v>
      </c>
      <c r="BC47" s="211"/>
      <c r="BD47" s="213">
        <v>0.56000000000000005</v>
      </c>
      <c r="BE47" s="211"/>
      <c r="BF47" s="213">
        <v>0</v>
      </c>
      <c r="BG47" s="211"/>
      <c r="BH47" s="213">
        <f>ROUND(SUM(AV47:BF47),5)</f>
        <v>2278.84</v>
      </c>
      <c r="BI47" s="211"/>
      <c r="BJ47" s="213">
        <v>6</v>
      </c>
      <c r="BK47" s="211"/>
      <c r="BL47" s="213">
        <f>BJ47</f>
        <v>6</v>
      </c>
      <c r="BM47" s="211"/>
      <c r="BN47" s="213">
        <v>1484.62</v>
      </c>
      <c r="BO47" s="211"/>
      <c r="BP47" s="213">
        <v>81.099999999999994</v>
      </c>
      <c r="BQ47" s="211"/>
      <c r="BR47" s="213">
        <f>ROUND(SUM(BN47:BP47),5)</f>
        <v>1565.72</v>
      </c>
      <c r="BS47" s="211"/>
      <c r="BT47" s="213">
        <v>1749.73</v>
      </c>
      <c r="BU47" s="211"/>
      <c r="BV47" s="213">
        <v>26.61</v>
      </c>
      <c r="BW47" s="211"/>
      <c r="BX47" s="213">
        <v>0</v>
      </c>
      <c r="BY47" s="211"/>
      <c r="BZ47" s="213">
        <v>0</v>
      </c>
      <c r="CA47" s="211"/>
      <c r="CB47" s="213">
        <v>0</v>
      </c>
      <c r="CC47" s="211"/>
      <c r="CD47" s="213">
        <f>ROUND(BH47+BL47+SUM(BR47:CB47),5)</f>
        <v>5626.9</v>
      </c>
      <c r="CE47" s="211"/>
      <c r="CF47" s="213">
        <v>0</v>
      </c>
      <c r="CG47" s="211"/>
      <c r="CH47" s="213">
        <f>ROUND(SUM(H47:N47)+SUM(T47:V47)+AN47+AT47+SUM(CD47:CF47),5)</f>
        <v>5935.6</v>
      </c>
    </row>
    <row r="48" spans="1:86">
      <c r="A48" s="209"/>
      <c r="B48" s="209"/>
      <c r="C48" s="209"/>
      <c r="D48" s="209"/>
      <c r="E48" s="209"/>
      <c r="F48" s="209" t="s">
        <v>146</v>
      </c>
      <c r="G48" s="209"/>
      <c r="H48" s="210">
        <f>ROUND(SUM(H43:H47),5)</f>
        <v>0</v>
      </c>
      <c r="I48" s="211"/>
      <c r="J48" s="210">
        <f>ROUND(SUM(J43:J47),5)</f>
        <v>0</v>
      </c>
      <c r="K48" s="211"/>
      <c r="L48" s="210">
        <f>ROUND(SUM(L43:L47),5)</f>
        <v>0</v>
      </c>
      <c r="M48" s="211"/>
      <c r="N48" s="210">
        <f>ROUND(SUM(N43:N47),5)</f>
        <v>0</v>
      </c>
      <c r="O48" s="211"/>
      <c r="P48" s="210">
        <f>ROUND(SUM(P43:P47),5)</f>
        <v>0</v>
      </c>
      <c r="Q48" s="211"/>
      <c r="R48" s="210">
        <f>ROUND(SUM(R43:R47),5)</f>
        <v>0</v>
      </c>
      <c r="S48" s="211"/>
      <c r="T48" s="210">
        <f>ROUND(SUM(P48:R48),5)</f>
        <v>0</v>
      </c>
      <c r="U48" s="211"/>
      <c r="V48" s="210">
        <f>ROUND(SUM(V43:V47),5)</f>
        <v>0</v>
      </c>
      <c r="W48" s="211"/>
      <c r="X48" s="210">
        <f>ROUND(SUM(X43:X47),5)</f>
        <v>0</v>
      </c>
      <c r="Y48" s="211"/>
      <c r="Z48" s="210">
        <f>ROUND(SUM(Z43:Z47),5)</f>
        <v>0</v>
      </c>
      <c r="AA48" s="211"/>
      <c r="AB48" s="210">
        <f>ROUND(SUM(AB43:AB47),5)</f>
        <v>964.01</v>
      </c>
      <c r="AC48" s="211"/>
      <c r="AD48" s="210">
        <f>ROUND(SUM(AD43:AD47),5)</f>
        <v>1443.35</v>
      </c>
      <c r="AE48" s="211"/>
      <c r="AF48" s="210">
        <f>ROUND(SUM(AF43:AF47),5)</f>
        <v>8116.25</v>
      </c>
      <c r="AG48" s="211"/>
      <c r="AH48" s="210">
        <f>ROUND(SUM(AH43:AH47),5)</f>
        <v>622.04999999999995</v>
      </c>
      <c r="AI48" s="211"/>
      <c r="AJ48" s="210">
        <f>ROUND(SUM(AJ43:AJ47),5)</f>
        <v>19.73</v>
      </c>
      <c r="AK48" s="211"/>
      <c r="AL48" s="210">
        <f>ROUND(SUM(AL43:AL47),5)</f>
        <v>221.6</v>
      </c>
      <c r="AM48" s="211"/>
      <c r="AN48" s="210">
        <f>ROUND(SUM(X48:AL48),5)</f>
        <v>11386.99</v>
      </c>
      <c r="AO48" s="211"/>
      <c r="AP48" s="210">
        <f>ROUND(SUM(AP43:AP47),5)</f>
        <v>29291.85</v>
      </c>
      <c r="AQ48" s="211"/>
      <c r="AR48" s="210">
        <f>ROUND(SUM(AR43:AR47),5)</f>
        <v>551.82000000000005</v>
      </c>
      <c r="AS48" s="211"/>
      <c r="AT48" s="210">
        <f>ROUND(SUM(AP48:AR48),5)</f>
        <v>29843.67</v>
      </c>
      <c r="AU48" s="211"/>
      <c r="AV48" s="210">
        <f>ROUND(SUM(AV43:AV47),5)</f>
        <v>1991.81</v>
      </c>
      <c r="AW48" s="211"/>
      <c r="AX48" s="210">
        <f>ROUND(SUM(AX43:AX47),5)</f>
        <v>31005.23</v>
      </c>
      <c r="AY48" s="211"/>
      <c r="AZ48" s="210">
        <f>ROUND(SUM(AZ43:AZ47),5)</f>
        <v>8414.77</v>
      </c>
      <c r="BA48" s="211"/>
      <c r="BB48" s="210">
        <f>ROUND(SUM(BB43:BB47),5)</f>
        <v>63500.09</v>
      </c>
      <c r="BC48" s="211"/>
      <c r="BD48" s="210">
        <f>ROUND(SUM(BD43:BD47),5)</f>
        <v>2035.32</v>
      </c>
      <c r="BE48" s="211"/>
      <c r="BF48" s="210">
        <f>ROUND(SUM(BF43:BF47),5)</f>
        <v>0</v>
      </c>
      <c r="BG48" s="211"/>
      <c r="BH48" s="210">
        <f>ROUND(SUM(AV48:BF48),5)</f>
        <v>106947.22</v>
      </c>
      <c r="BI48" s="211"/>
      <c r="BJ48" s="210">
        <f>ROUND(SUM(BJ43:BJ47),5)</f>
        <v>6</v>
      </c>
      <c r="BK48" s="211"/>
      <c r="BL48" s="210">
        <f>BJ48</f>
        <v>6</v>
      </c>
      <c r="BM48" s="211"/>
      <c r="BN48" s="210">
        <f>ROUND(SUM(BN43:BN47),5)</f>
        <v>24403.57</v>
      </c>
      <c r="BO48" s="211"/>
      <c r="BP48" s="210">
        <f>ROUND(SUM(BP43:BP47),5)</f>
        <v>2428.42</v>
      </c>
      <c r="BQ48" s="211"/>
      <c r="BR48" s="210">
        <f>ROUND(SUM(BN48:BP48),5)</f>
        <v>26831.99</v>
      </c>
      <c r="BS48" s="211"/>
      <c r="BT48" s="210">
        <f>ROUND(SUM(BT43:BT47),5)</f>
        <v>55856.76</v>
      </c>
      <c r="BU48" s="211"/>
      <c r="BV48" s="210">
        <f>ROUND(SUM(BV43:BV47),5)</f>
        <v>26.61</v>
      </c>
      <c r="BW48" s="211"/>
      <c r="BX48" s="210">
        <f>ROUND(SUM(BX43:BX47),5)</f>
        <v>2490.8200000000002</v>
      </c>
      <c r="BY48" s="211"/>
      <c r="BZ48" s="210">
        <f>ROUND(SUM(BZ43:BZ47),5)</f>
        <v>1006.19</v>
      </c>
      <c r="CA48" s="211"/>
      <c r="CB48" s="210">
        <f>ROUND(SUM(CB43:CB47),5)</f>
        <v>0</v>
      </c>
      <c r="CC48" s="211"/>
      <c r="CD48" s="210">
        <f>ROUND(BH48+BL48+SUM(BR48:CB48),5)</f>
        <v>193165.59</v>
      </c>
      <c r="CE48" s="211"/>
      <c r="CF48" s="210">
        <f>ROUND(SUM(CF43:CF47),5)</f>
        <v>3.89</v>
      </c>
      <c r="CG48" s="211"/>
      <c r="CH48" s="210">
        <f>ROUND(SUM(H48:N48)+SUM(T48:V48)+AN48+AT48+SUM(CD48:CF48),5)</f>
        <v>234400.14</v>
      </c>
    </row>
    <row r="49" spans="1:86">
      <c r="A49" s="209"/>
      <c r="B49" s="209"/>
      <c r="C49" s="209"/>
      <c r="D49" s="209"/>
      <c r="E49" s="209"/>
      <c r="F49" s="209" t="s">
        <v>147</v>
      </c>
      <c r="G49" s="209"/>
      <c r="H49" s="210"/>
      <c r="I49" s="211"/>
      <c r="J49" s="210"/>
      <c r="K49" s="211"/>
      <c r="L49" s="210"/>
      <c r="M49" s="211"/>
      <c r="N49" s="210"/>
      <c r="O49" s="211"/>
      <c r="P49" s="210"/>
      <c r="Q49" s="211"/>
      <c r="R49" s="210"/>
      <c r="S49" s="211"/>
      <c r="T49" s="210"/>
      <c r="U49" s="211"/>
      <c r="V49" s="210"/>
      <c r="W49" s="211"/>
      <c r="X49" s="210"/>
      <c r="Y49" s="211"/>
      <c r="Z49" s="210"/>
      <c r="AA49" s="211"/>
      <c r="AB49" s="210"/>
      <c r="AC49" s="211"/>
      <c r="AD49" s="210"/>
      <c r="AE49" s="211"/>
      <c r="AF49" s="210"/>
      <c r="AG49" s="211"/>
      <c r="AH49" s="210"/>
      <c r="AI49" s="211"/>
      <c r="AJ49" s="210"/>
      <c r="AK49" s="211"/>
      <c r="AL49" s="210"/>
      <c r="AM49" s="211"/>
      <c r="AN49" s="210"/>
      <c r="AO49" s="211"/>
      <c r="AP49" s="210"/>
      <c r="AQ49" s="211"/>
      <c r="AR49" s="210"/>
      <c r="AS49" s="211"/>
      <c r="AT49" s="210"/>
      <c r="AU49" s="211"/>
      <c r="AV49" s="210"/>
      <c r="AW49" s="211"/>
      <c r="AX49" s="210"/>
      <c r="AY49" s="211"/>
      <c r="AZ49" s="210"/>
      <c r="BA49" s="211"/>
      <c r="BB49" s="210"/>
      <c r="BC49" s="211"/>
      <c r="BD49" s="210"/>
      <c r="BE49" s="211"/>
      <c r="BF49" s="210"/>
      <c r="BG49" s="211"/>
      <c r="BH49" s="210"/>
      <c r="BI49" s="211"/>
      <c r="BJ49" s="210"/>
      <c r="BK49" s="211"/>
      <c r="BL49" s="210"/>
      <c r="BM49" s="211"/>
      <c r="BN49" s="210"/>
      <c r="BO49" s="211"/>
      <c r="BP49" s="210"/>
      <c r="BQ49" s="211"/>
      <c r="BR49" s="210"/>
      <c r="BS49" s="211"/>
      <c r="BT49" s="210"/>
      <c r="BU49" s="211"/>
      <c r="BV49" s="210"/>
      <c r="BW49" s="211"/>
      <c r="BX49" s="210"/>
      <c r="BY49" s="211"/>
      <c r="BZ49" s="210"/>
      <c r="CA49" s="211"/>
      <c r="CB49" s="210"/>
      <c r="CC49" s="211"/>
      <c r="CD49" s="210"/>
      <c r="CE49" s="211"/>
      <c r="CF49" s="210"/>
      <c r="CG49" s="211"/>
      <c r="CH49" s="210"/>
    </row>
    <row r="50" spans="1:86">
      <c r="A50" s="209"/>
      <c r="B50" s="209"/>
      <c r="C50" s="209"/>
      <c r="D50" s="209"/>
      <c r="E50" s="209"/>
      <c r="F50" s="209"/>
      <c r="G50" s="209" t="s">
        <v>386</v>
      </c>
      <c r="H50" s="210">
        <v>0</v>
      </c>
      <c r="I50" s="211"/>
      <c r="J50" s="210">
        <v>0</v>
      </c>
      <c r="K50" s="211"/>
      <c r="L50" s="210">
        <v>0</v>
      </c>
      <c r="M50" s="211"/>
      <c r="N50" s="210">
        <v>0</v>
      </c>
      <c r="O50" s="211"/>
      <c r="P50" s="210">
        <v>0</v>
      </c>
      <c r="Q50" s="211"/>
      <c r="R50" s="210">
        <v>0</v>
      </c>
      <c r="S50" s="211"/>
      <c r="T50" s="210">
        <f t="shared" ref="T50:T57" si="24">ROUND(SUM(P50:R50),5)</f>
        <v>0</v>
      </c>
      <c r="U50" s="211"/>
      <c r="V50" s="210">
        <v>0</v>
      </c>
      <c r="W50" s="211"/>
      <c r="X50" s="210">
        <v>0</v>
      </c>
      <c r="Y50" s="211"/>
      <c r="Z50" s="210">
        <v>0</v>
      </c>
      <c r="AA50" s="211"/>
      <c r="AB50" s="210">
        <v>0</v>
      </c>
      <c r="AC50" s="211"/>
      <c r="AD50" s="210">
        <v>0</v>
      </c>
      <c r="AE50" s="211"/>
      <c r="AF50" s="210">
        <v>0</v>
      </c>
      <c r="AG50" s="211"/>
      <c r="AH50" s="210">
        <v>0</v>
      </c>
      <c r="AI50" s="211"/>
      <c r="AJ50" s="210">
        <v>0</v>
      </c>
      <c r="AK50" s="211"/>
      <c r="AL50" s="210">
        <v>0</v>
      </c>
      <c r="AM50" s="211"/>
      <c r="AN50" s="210">
        <f t="shared" ref="AN50:AN57" si="25">ROUND(SUM(X50:AL50),5)</f>
        <v>0</v>
      </c>
      <c r="AO50" s="211"/>
      <c r="AP50" s="210">
        <v>0</v>
      </c>
      <c r="AQ50" s="211"/>
      <c r="AR50" s="210">
        <v>0</v>
      </c>
      <c r="AS50" s="211"/>
      <c r="AT50" s="210">
        <f t="shared" ref="AT50:AT57" si="26">ROUND(SUM(AP50:AR50),5)</f>
        <v>0</v>
      </c>
      <c r="AU50" s="211"/>
      <c r="AV50" s="210">
        <v>0</v>
      </c>
      <c r="AW50" s="211"/>
      <c r="AX50" s="210">
        <v>0</v>
      </c>
      <c r="AY50" s="211"/>
      <c r="AZ50" s="210">
        <v>0</v>
      </c>
      <c r="BA50" s="211"/>
      <c r="BB50" s="210">
        <v>1266.8499999999999</v>
      </c>
      <c r="BC50" s="211"/>
      <c r="BD50" s="210">
        <v>0</v>
      </c>
      <c r="BE50" s="211"/>
      <c r="BF50" s="210">
        <v>0</v>
      </c>
      <c r="BG50" s="211"/>
      <c r="BH50" s="210">
        <f t="shared" ref="BH50:BH57" si="27">ROUND(SUM(AV50:BF50),5)</f>
        <v>1266.8499999999999</v>
      </c>
      <c r="BI50" s="211"/>
      <c r="BJ50" s="210">
        <v>0</v>
      </c>
      <c r="BK50" s="211"/>
      <c r="BL50" s="210">
        <f t="shared" ref="BL50:BL57" si="28">BJ50</f>
        <v>0</v>
      </c>
      <c r="BM50" s="211"/>
      <c r="BN50" s="210">
        <v>0</v>
      </c>
      <c r="BO50" s="211"/>
      <c r="BP50" s="210">
        <v>0</v>
      </c>
      <c r="BQ50" s="211"/>
      <c r="BR50" s="210">
        <f t="shared" ref="BR50:BR57" si="29">ROUND(SUM(BN50:BP50),5)</f>
        <v>0</v>
      </c>
      <c r="BS50" s="211"/>
      <c r="BT50" s="210">
        <v>0</v>
      </c>
      <c r="BU50" s="211"/>
      <c r="BV50" s="210">
        <v>0</v>
      </c>
      <c r="BW50" s="211"/>
      <c r="BX50" s="210">
        <v>0</v>
      </c>
      <c r="BY50" s="211"/>
      <c r="BZ50" s="210">
        <v>0</v>
      </c>
      <c r="CA50" s="211"/>
      <c r="CB50" s="210">
        <v>0</v>
      </c>
      <c r="CC50" s="211"/>
      <c r="CD50" s="210">
        <f t="shared" ref="CD50:CD57" si="30">ROUND(BH50+BL50+SUM(BR50:CB50),5)</f>
        <v>1266.8499999999999</v>
      </c>
      <c r="CE50" s="211"/>
      <c r="CF50" s="210">
        <v>0</v>
      </c>
      <c r="CG50" s="211"/>
      <c r="CH50" s="210">
        <f t="shared" ref="CH50:CH57" si="31">ROUND(SUM(H50:N50)+SUM(T50:V50)+AN50+AT50+SUM(CD50:CF50),5)</f>
        <v>1266.8499999999999</v>
      </c>
    </row>
    <row r="51" spans="1:86">
      <c r="A51" s="209"/>
      <c r="B51" s="209"/>
      <c r="C51" s="209"/>
      <c r="D51" s="209"/>
      <c r="E51" s="209"/>
      <c r="F51" s="209"/>
      <c r="G51" s="209" t="s">
        <v>148</v>
      </c>
      <c r="H51" s="210">
        <v>0</v>
      </c>
      <c r="I51" s="211"/>
      <c r="J51" s="210">
        <v>0</v>
      </c>
      <c r="K51" s="211"/>
      <c r="L51" s="210">
        <v>0</v>
      </c>
      <c r="M51" s="211"/>
      <c r="N51" s="210">
        <v>0</v>
      </c>
      <c r="O51" s="211"/>
      <c r="P51" s="210">
        <v>0</v>
      </c>
      <c r="Q51" s="211"/>
      <c r="R51" s="210">
        <v>0</v>
      </c>
      <c r="S51" s="211"/>
      <c r="T51" s="210">
        <f t="shared" si="24"/>
        <v>0</v>
      </c>
      <c r="U51" s="211"/>
      <c r="V51" s="210">
        <v>0</v>
      </c>
      <c r="W51" s="211"/>
      <c r="X51" s="210">
        <v>0</v>
      </c>
      <c r="Y51" s="211"/>
      <c r="Z51" s="210">
        <v>0</v>
      </c>
      <c r="AA51" s="211"/>
      <c r="AB51" s="210">
        <v>51.88</v>
      </c>
      <c r="AC51" s="211"/>
      <c r="AD51" s="210">
        <v>17.850000000000001</v>
      </c>
      <c r="AE51" s="211"/>
      <c r="AF51" s="210">
        <v>139.11000000000001</v>
      </c>
      <c r="AG51" s="211"/>
      <c r="AH51" s="210">
        <v>0</v>
      </c>
      <c r="AI51" s="211"/>
      <c r="AJ51" s="210">
        <v>0</v>
      </c>
      <c r="AK51" s="211"/>
      <c r="AL51" s="210">
        <v>7.58</v>
      </c>
      <c r="AM51" s="211"/>
      <c r="AN51" s="210">
        <f t="shared" si="25"/>
        <v>216.42</v>
      </c>
      <c r="AO51" s="211"/>
      <c r="AP51" s="210">
        <v>62.89</v>
      </c>
      <c r="AQ51" s="211"/>
      <c r="AR51" s="210">
        <v>0</v>
      </c>
      <c r="AS51" s="211"/>
      <c r="AT51" s="210">
        <f t="shared" si="26"/>
        <v>62.89</v>
      </c>
      <c r="AU51" s="211"/>
      <c r="AV51" s="210">
        <v>0</v>
      </c>
      <c r="AW51" s="211"/>
      <c r="AX51" s="210">
        <v>850.62</v>
      </c>
      <c r="AY51" s="211"/>
      <c r="AZ51" s="210">
        <v>760.45</v>
      </c>
      <c r="BA51" s="211"/>
      <c r="BB51" s="210">
        <v>5628.61</v>
      </c>
      <c r="BC51" s="211"/>
      <c r="BD51" s="210">
        <v>0</v>
      </c>
      <c r="BE51" s="211"/>
      <c r="BF51" s="210">
        <v>0</v>
      </c>
      <c r="BG51" s="211"/>
      <c r="BH51" s="210">
        <f t="shared" si="27"/>
        <v>7239.68</v>
      </c>
      <c r="BI51" s="211"/>
      <c r="BJ51" s="210">
        <v>0</v>
      </c>
      <c r="BK51" s="211"/>
      <c r="BL51" s="210">
        <f t="shared" si="28"/>
        <v>0</v>
      </c>
      <c r="BM51" s="211"/>
      <c r="BN51" s="210">
        <v>82.07</v>
      </c>
      <c r="BO51" s="211"/>
      <c r="BP51" s="210">
        <v>0</v>
      </c>
      <c r="BQ51" s="211"/>
      <c r="BR51" s="210">
        <f t="shared" si="29"/>
        <v>82.07</v>
      </c>
      <c r="BS51" s="211"/>
      <c r="BT51" s="210">
        <v>-2143.63</v>
      </c>
      <c r="BU51" s="211"/>
      <c r="BV51" s="210">
        <v>0</v>
      </c>
      <c r="BW51" s="211"/>
      <c r="BX51" s="210">
        <v>0</v>
      </c>
      <c r="BY51" s="211"/>
      <c r="BZ51" s="210">
        <v>0</v>
      </c>
      <c r="CA51" s="211"/>
      <c r="CB51" s="210">
        <v>0</v>
      </c>
      <c r="CC51" s="211"/>
      <c r="CD51" s="210">
        <f t="shared" si="30"/>
        <v>5178.12</v>
      </c>
      <c r="CE51" s="211"/>
      <c r="CF51" s="210">
        <v>0</v>
      </c>
      <c r="CG51" s="211"/>
      <c r="CH51" s="210">
        <f t="shared" si="31"/>
        <v>5457.43</v>
      </c>
    </row>
    <row r="52" spans="1:86">
      <c r="A52" s="209"/>
      <c r="B52" s="209"/>
      <c r="C52" s="209"/>
      <c r="D52" s="209"/>
      <c r="E52" s="209"/>
      <c r="F52" s="209"/>
      <c r="G52" s="209" t="s">
        <v>150</v>
      </c>
      <c r="H52" s="210">
        <v>0</v>
      </c>
      <c r="I52" s="211"/>
      <c r="J52" s="210">
        <v>0</v>
      </c>
      <c r="K52" s="211"/>
      <c r="L52" s="210">
        <v>0</v>
      </c>
      <c r="M52" s="211"/>
      <c r="N52" s="210">
        <v>0</v>
      </c>
      <c r="O52" s="211"/>
      <c r="P52" s="210">
        <v>0</v>
      </c>
      <c r="Q52" s="211"/>
      <c r="R52" s="210">
        <v>0</v>
      </c>
      <c r="S52" s="211"/>
      <c r="T52" s="210">
        <f t="shared" si="24"/>
        <v>0</v>
      </c>
      <c r="U52" s="211"/>
      <c r="V52" s="210">
        <v>0</v>
      </c>
      <c r="W52" s="211"/>
      <c r="X52" s="210">
        <v>0</v>
      </c>
      <c r="Y52" s="211"/>
      <c r="Z52" s="210">
        <v>0</v>
      </c>
      <c r="AA52" s="211"/>
      <c r="AB52" s="210">
        <v>90.31</v>
      </c>
      <c r="AC52" s="211"/>
      <c r="AD52" s="210">
        <v>136.9</v>
      </c>
      <c r="AE52" s="211"/>
      <c r="AF52" s="210">
        <v>213.8</v>
      </c>
      <c r="AG52" s="211"/>
      <c r="AH52" s="210">
        <v>8.66</v>
      </c>
      <c r="AI52" s="211"/>
      <c r="AJ52" s="210">
        <v>1708.55</v>
      </c>
      <c r="AK52" s="211"/>
      <c r="AL52" s="210">
        <v>52</v>
      </c>
      <c r="AM52" s="211"/>
      <c r="AN52" s="210">
        <f t="shared" si="25"/>
        <v>2210.2199999999998</v>
      </c>
      <c r="AO52" s="211"/>
      <c r="AP52" s="210">
        <v>405.84</v>
      </c>
      <c r="AQ52" s="211"/>
      <c r="AR52" s="210">
        <v>294.47000000000003</v>
      </c>
      <c r="AS52" s="211"/>
      <c r="AT52" s="210">
        <f t="shared" si="26"/>
        <v>700.31</v>
      </c>
      <c r="AU52" s="211"/>
      <c r="AV52" s="210">
        <v>0</v>
      </c>
      <c r="AW52" s="211"/>
      <c r="AX52" s="210">
        <v>1397.73</v>
      </c>
      <c r="AY52" s="211"/>
      <c r="AZ52" s="210">
        <v>721.92</v>
      </c>
      <c r="BA52" s="211"/>
      <c r="BB52" s="210">
        <v>5249.53</v>
      </c>
      <c r="BC52" s="211"/>
      <c r="BD52" s="210">
        <v>1.33</v>
      </c>
      <c r="BE52" s="211"/>
      <c r="BF52" s="210">
        <v>0</v>
      </c>
      <c r="BG52" s="211"/>
      <c r="BH52" s="210">
        <f t="shared" si="27"/>
        <v>7370.51</v>
      </c>
      <c r="BI52" s="211"/>
      <c r="BJ52" s="210">
        <v>0</v>
      </c>
      <c r="BK52" s="211"/>
      <c r="BL52" s="210">
        <f t="shared" si="28"/>
        <v>0</v>
      </c>
      <c r="BM52" s="211"/>
      <c r="BN52" s="210">
        <v>781.45</v>
      </c>
      <c r="BO52" s="211"/>
      <c r="BP52" s="210">
        <v>404.12</v>
      </c>
      <c r="BQ52" s="211"/>
      <c r="BR52" s="210">
        <f t="shared" si="29"/>
        <v>1185.57</v>
      </c>
      <c r="BS52" s="211"/>
      <c r="BT52" s="210">
        <v>2026.54</v>
      </c>
      <c r="BU52" s="211"/>
      <c r="BV52" s="210">
        <v>0</v>
      </c>
      <c r="BW52" s="211"/>
      <c r="BX52" s="210">
        <v>0</v>
      </c>
      <c r="BY52" s="211"/>
      <c r="BZ52" s="210">
        <v>0</v>
      </c>
      <c r="CA52" s="211"/>
      <c r="CB52" s="210">
        <v>0</v>
      </c>
      <c r="CC52" s="211"/>
      <c r="CD52" s="210">
        <f t="shared" si="30"/>
        <v>10582.62</v>
      </c>
      <c r="CE52" s="211"/>
      <c r="CF52" s="210">
        <v>0</v>
      </c>
      <c r="CG52" s="211"/>
      <c r="CH52" s="210">
        <f t="shared" si="31"/>
        <v>13493.15</v>
      </c>
    </row>
    <row r="53" spans="1:86">
      <c r="A53" s="209"/>
      <c r="B53" s="209"/>
      <c r="C53" s="209"/>
      <c r="D53" s="209"/>
      <c r="E53" s="209"/>
      <c r="F53" s="209"/>
      <c r="G53" s="209" t="s">
        <v>152</v>
      </c>
      <c r="H53" s="210">
        <v>0</v>
      </c>
      <c r="I53" s="211"/>
      <c r="J53" s="210">
        <v>0</v>
      </c>
      <c r="K53" s="211"/>
      <c r="L53" s="210">
        <v>0</v>
      </c>
      <c r="M53" s="211"/>
      <c r="N53" s="210">
        <v>0</v>
      </c>
      <c r="O53" s="211"/>
      <c r="P53" s="210">
        <v>0</v>
      </c>
      <c r="Q53" s="211"/>
      <c r="R53" s="210">
        <v>0</v>
      </c>
      <c r="S53" s="211"/>
      <c r="T53" s="210">
        <f t="shared" si="24"/>
        <v>0</v>
      </c>
      <c r="U53" s="211"/>
      <c r="V53" s="210">
        <v>0</v>
      </c>
      <c r="W53" s="211"/>
      <c r="X53" s="210">
        <v>0</v>
      </c>
      <c r="Y53" s="211"/>
      <c r="Z53" s="210">
        <v>0</v>
      </c>
      <c r="AA53" s="211"/>
      <c r="AB53" s="210">
        <v>3.03</v>
      </c>
      <c r="AC53" s="211"/>
      <c r="AD53" s="210">
        <v>9.99</v>
      </c>
      <c r="AE53" s="211"/>
      <c r="AF53" s="210">
        <v>0.95</v>
      </c>
      <c r="AG53" s="211"/>
      <c r="AH53" s="210">
        <v>2.08</v>
      </c>
      <c r="AI53" s="211"/>
      <c r="AJ53" s="210">
        <v>77.12</v>
      </c>
      <c r="AK53" s="211"/>
      <c r="AL53" s="210">
        <v>3.45</v>
      </c>
      <c r="AM53" s="211"/>
      <c r="AN53" s="210">
        <f t="shared" si="25"/>
        <v>96.62</v>
      </c>
      <c r="AO53" s="211"/>
      <c r="AP53" s="210">
        <v>0</v>
      </c>
      <c r="AQ53" s="211"/>
      <c r="AR53" s="210">
        <v>0</v>
      </c>
      <c r="AS53" s="211"/>
      <c r="AT53" s="210">
        <f t="shared" si="26"/>
        <v>0</v>
      </c>
      <c r="AU53" s="211"/>
      <c r="AV53" s="210">
        <v>0</v>
      </c>
      <c r="AW53" s="211"/>
      <c r="AX53" s="210">
        <v>23.43</v>
      </c>
      <c r="AY53" s="211"/>
      <c r="AZ53" s="210">
        <v>4.3099999999999996</v>
      </c>
      <c r="BA53" s="211"/>
      <c r="BB53" s="210">
        <v>263.32</v>
      </c>
      <c r="BC53" s="211"/>
      <c r="BD53" s="210">
        <v>0.91</v>
      </c>
      <c r="BE53" s="211"/>
      <c r="BF53" s="210">
        <v>0</v>
      </c>
      <c r="BG53" s="211"/>
      <c r="BH53" s="210">
        <f t="shared" si="27"/>
        <v>291.97000000000003</v>
      </c>
      <c r="BI53" s="211"/>
      <c r="BJ53" s="210">
        <v>0</v>
      </c>
      <c r="BK53" s="211"/>
      <c r="BL53" s="210">
        <f t="shared" si="28"/>
        <v>0</v>
      </c>
      <c r="BM53" s="211"/>
      <c r="BN53" s="210">
        <v>346.77</v>
      </c>
      <c r="BO53" s="211"/>
      <c r="BP53" s="210">
        <v>125.4</v>
      </c>
      <c r="BQ53" s="211"/>
      <c r="BR53" s="210">
        <f t="shared" si="29"/>
        <v>472.17</v>
      </c>
      <c r="BS53" s="211"/>
      <c r="BT53" s="210">
        <v>3022.56</v>
      </c>
      <c r="BU53" s="211"/>
      <c r="BV53" s="210">
        <v>0</v>
      </c>
      <c r="BW53" s="211"/>
      <c r="BX53" s="210">
        <v>0</v>
      </c>
      <c r="BY53" s="211"/>
      <c r="BZ53" s="210">
        <v>0</v>
      </c>
      <c r="CA53" s="211"/>
      <c r="CB53" s="210">
        <v>0</v>
      </c>
      <c r="CC53" s="211"/>
      <c r="CD53" s="210">
        <f t="shared" si="30"/>
        <v>3786.7</v>
      </c>
      <c r="CE53" s="211"/>
      <c r="CF53" s="210">
        <v>0</v>
      </c>
      <c r="CG53" s="211"/>
      <c r="CH53" s="210">
        <f t="shared" si="31"/>
        <v>3883.32</v>
      </c>
    </row>
    <row r="54" spans="1:86">
      <c r="A54" s="209"/>
      <c r="B54" s="209"/>
      <c r="C54" s="209"/>
      <c r="D54" s="209"/>
      <c r="E54" s="209"/>
      <c r="F54" s="209"/>
      <c r="G54" s="209" t="s">
        <v>154</v>
      </c>
      <c r="H54" s="210">
        <v>0</v>
      </c>
      <c r="I54" s="211"/>
      <c r="J54" s="210">
        <v>0</v>
      </c>
      <c r="K54" s="211"/>
      <c r="L54" s="210">
        <v>0</v>
      </c>
      <c r="M54" s="211"/>
      <c r="N54" s="210">
        <v>0</v>
      </c>
      <c r="O54" s="211"/>
      <c r="P54" s="210">
        <v>0</v>
      </c>
      <c r="Q54" s="211"/>
      <c r="R54" s="210">
        <v>0</v>
      </c>
      <c r="S54" s="211"/>
      <c r="T54" s="210">
        <f t="shared" si="24"/>
        <v>0</v>
      </c>
      <c r="U54" s="211"/>
      <c r="V54" s="210">
        <v>0</v>
      </c>
      <c r="W54" s="211"/>
      <c r="X54" s="210">
        <v>0</v>
      </c>
      <c r="Y54" s="211"/>
      <c r="Z54" s="210">
        <v>0</v>
      </c>
      <c r="AA54" s="211"/>
      <c r="AB54" s="210">
        <v>0</v>
      </c>
      <c r="AC54" s="211"/>
      <c r="AD54" s="210">
        <v>137.01</v>
      </c>
      <c r="AE54" s="211"/>
      <c r="AF54" s="210">
        <v>218.82</v>
      </c>
      <c r="AG54" s="211"/>
      <c r="AH54" s="210">
        <v>0</v>
      </c>
      <c r="AI54" s="211"/>
      <c r="AJ54" s="210">
        <v>0</v>
      </c>
      <c r="AK54" s="211"/>
      <c r="AL54" s="210">
        <v>134.13999999999999</v>
      </c>
      <c r="AM54" s="211"/>
      <c r="AN54" s="210">
        <f t="shared" si="25"/>
        <v>489.97</v>
      </c>
      <c r="AO54" s="211"/>
      <c r="AP54" s="210">
        <v>515.6</v>
      </c>
      <c r="AQ54" s="211"/>
      <c r="AR54" s="210">
        <v>0</v>
      </c>
      <c r="AS54" s="211"/>
      <c r="AT54" s="210">
        <f t="shared" si="26"/>
        <v>515.6</v>
      </c>
      <c r="AU54" s="211"/>
      <c r="AV54" s="210">
        <v>0</v>
      </c>
      <c r="AW54" s="211"/>
      <c r="AX54" s="210">
        <v>390.29</v>
      </c>
      <c r="AY54" s="211"/>
      <c r="AZ54" s="210">
        <v>0</v>
      </c>
      <c r="BA54" s="211"/>
      <c r="BB54" s="210">
        <v>14.62</v>
      </c>
      <c r="BC54" s="211"/>
      <c r="BD54" s="210">
        <v>0</v>
      </c>
      <c r="BE54" s="211"/>
      <c r="BF54" s="210">
        <v>0</v>
      </c>
      <c r="BG54" s="211"/>
      <c r="BH54" s="210">
        <f t="shared" si="27"/>
        <v>404.91</v>
      </c>
      <c r="BI54" s="211"/>
      <c r="BJ54" s="210">
        <v>0</v>
      </c>
      <c r="BK54" s="211"/>
      <c r="BL54" s="210">
        <f t="shared" si="28"/>
        <v>0</v>
      </c>
      <c r="BM54" s="211"/>
      <c r="BN54" s="210">
        <v>118.33</v>
      </c>
      <c r="BO54" s="211"/>
      <c r="BP54" s="210">
        <v>72.069999999999993</v>
      </c>
      <c r="BQ54" s="211"/>
      <c r="BR54" s="210">
        <f t="shared" si="29"/>
        <v>190.4</v>
      </c>
      <c r="BS54" s="211"/>
      <c r="BT54" s="210">
        <v>4713.1899999999996</v>
      </c>
      <c r="BU54" s="211"/>
      <c r="BV54" s="210">
        <v>0</v>
      </c>
      <c r="BW54" s="211"/>
      <c r="BX54" s="210">
        <v>0</v>
      </c>
      <c r="BY54" s="211"/>
      <c r="BZ54" s="210">
        <v>0</v>
      </c>
      <c r="CA54" s="211"/>
      <c r="CB54" s="210">
        <v>0</v>
      </c>
      <c r="CC54" s="211"/>
      <c r="CD54" s="210">
        <f t="shared" si="30"/>
        <v>5308.5</v>
      </c>
      <c r="CE54" s="211"/>
      <c r="CF54" s="210">
        <v>30.07</v>
      </c>
      <c r="CG54" s="211"/>
      <c r="CH54" s="210">
        <f t="shared" si="31"/>
        <v>6344.14</v>
      </c>
    </row>
    <row r="55" spans="1:86">
      <c r="A55" s="209"/>
      <c r="B55" s="209"/>
      <c r="C55" s="209"/>
      <c r="D55" s="209"/>
      <c r="E55" s="209"/>
      <c r="F55" s="209"/>
      <c r="G55" s="209" t="s">
        <v>156</v>
      </c>
      <c r="H55" s="210">
        <v>0</v>
      </c>
      <c r="I55" s="211"/>
      <c r="J55" s="210">
        <v>0</v>
      </c>
      <c r="K55" s="211"/>
      <c r="L55" s="210">
        <v>0</v>
      </c>
      <c r="M55" s="211"/>
      <c r="N55" s="210">
        <v>0</v>
      </c>
      <c r="O55" s="211"/>
      <c r="P55" s="210">
        <v>0</v>
      </c>
      <c r="Q55" s="211"/>
      <c r="R55" s="210">
        <v>0</v>
      </c>
      <c r="S55" s="211"/>
      <c r="T55" s="210">
        <f t="shared" si="24"/>
        <v>0</v>
      </c>
      <c r="U55" s="211"/>
      <c r="V55" s="210">
        <v>0</v>
      </c>
      <c r="W55" s="211"/>
      <c r="X55" s="210">
        <v>0</v>
      </c>
      <c r="Y55" s="211"/>
      <c r="Z55" s="210">
        <v>0</v>
      </c>
      <c r="AA55" s="211"/>
      <c r="AB55" s="210">
        <v>1501.8</v>
      </c>
      <c r="AC55" s="211"/>
      <c r="AD55" s="210">
        <v>866.39</v>
      </c>
      <c r="AE55" s="211"/>
      <c r="AF55" s="210">
        <v>1847.72</v>
      </c>
      <c r="AG55" s="211"/>
      <c r="AH55" s="210">
        <v>55.38</v>
      </c>
      <c r="AI55" s="211"/>
      <c r="AJ55" s="210">
        <v>978.25</v>
      </c>
      <c r="AK55" s="211"/>
      <c r="AL55" s="210">
        <v>3189.34</v>
      </c>
      <c r="AM55" s="211"/>
      <c r="AN55" s="210">
        <f t="shared" si="25"/>
        <v>8438.8799999999992</v>
      </c>
      <c r="AO55" s="211"/>
      <c r="AP55" s="210">
        <v>253.59</v>
      </c>
      <c r="AQ55" s="211"/>
      <c r="AR55" s="210">
        <v>271.74</v>
      </c>
      <c r="AS55" s="211"/>
      <c r="AT55" s="210">
        <f t="shared" si="26"/>
        <v>525.33000000000004</v>
      </c>
      <c r="AU55" s="211"/>
      <c r="AV55" s="210">
        <v>3.23</v>
      </c>
      <c r="AW55" s="211"/>
      <c r="AX55" s="210">
        <v>4314.76</v>
      </c>
      <c r="AY55" s="211"/>
      <c r="AZ55" s="210">
        <v>2853.95</v>
      </c>
      <c r="BA55" s="211"/>
      <c r="BB55" s="210">
        <v>27599.93</v>
      </c>
      <c r="BC55" s="211"/>
      <c r="BD55" s="210">
        <v>89.59</v>
      </c>
      <c r="BE55" s="211"/>
      <c r="BF55" s="210">
        <v>0</v>
      </c>
      <c r="BG55" s="211"/>
      <c r="BH55" s="210">
        <f t="shared" si="27"/>
        <v>34861.46</v>
      </c>
      <c r="BI55" s="211"/>
      <c r="BJ55" s="210">
        <v>0</v>
      </c>
      <c r="BK55" s="211"/>
      <c r="BL55" s="210">
        <f t="shared" si="28"/>
        <v>0</v>
      </c>
      <c r="BM55" s="211"/>
      <c r="BN55" s="210">
        <v>2365.9899999999998</v>
      </c>
      <c r="BO55" s="211"/>
      <c r="BP55" s="210">
        <v>1041.1400000000001</v>
      </c>
      <c r="BQ55" s="211"/>
      <c r="BR55" s="210">
        <f t="shared" si="29"/>
        <v>3407.13</v>
      </c>
      <c r="BS55" s="211"/>
      <c r="BT55" s="210">
        <v>64347.91</v>
      </c>
      <c r="BU55" s="211"/>
      <c r="BV55" s="210">
        <v>0</v>
      </c>
      <c r="BW55" s="211"/>
      <c r="BX55" s="210">
        <v>0</v>
      </c>
      <c r="BY55" s="211"/>
      <c r="BZ55" s="210">
        <v>-2302.65</v>
      </c>
      <c r="CA55" s="211"/>
      <c r="CB55" s="210">
        <v>0</v>
      </c>
      <c r="CC55" s="211"/>
      <c r="CD55" s="210">
        <f t="shared" si="30"/>
        <v>100313.85</v>
      </c>
      <c r="CE55" s="211"/>
      <c r="CF55" s="210">
        <v>0</v>
      </c>
      <c r="CG55" s="211"/>
      <c r="CH55" s="210">
        <f t="shared" si="31"/>
        <v>109278.06</v>
      </c>
    </row>
    <row r="56" spans="1:86" ht="15" thickBot="1">
      <c r="A56" s="209"/>
      <c r="B56" s="209"/>
      <c r="C56" s="209"/>
      <c r="D56" s="209"/>
      <c r="E56" s="209"/>
      <c r="F56" s="209"/>
      <c r="G56" s="209" t="s">
        <v>159</v>
      </c>
      <c r="H56" s="213">
        <v>0</v>
      </c>
      <c r="I56" s="211"/>
      <c r="J56" s="213">
        <v>0</v>
      </c>
      <c r="K56" s="211"/>
      <c r="L56" s="213">
        <v>0</v>
      </c>
      <c r="M56" s="211"/>
      <c r="N56" s="213">
        <v>0</v>
      </c>
      <c r="O56" s="211"/>
      <c r="P56" s="213">
        <v>0</v>
      </c>
      <c r="Q56" s="211"/>
      <c r="R56" s="213">
        <v>0</v>
      </c>
      <c r="S56" s="211"/>
      <c r="T56" s="213">
        <f t="shared" si="24"/>
        <v>0</v>
      </c>
      <c r="U56" s="211"/>
      <c r="V56" s="213">
        <v>0</v>
      </c>
      <c r="W56" s="211"/>
      <c r="X56" s="213">
        <v>0</v>
      </c>
      <c r="Y56" s="211"/>
      <c r="Z56" s="213">
        <v>0</v>
      </c>
      <c r="AA56" s="211"/>
      <c r="AB56" s="213">
        <v>561.34</v>
      </c>
      <c r="AC56" s="211"/>
      <c r="AD56" s="213">
        <v>870.02</v>
      </c>
      <c r="AE56" s="211"/>
      <c r="AF56" s="213">
        <v>609.21</v>
      </c>
      <c r="AG56" s="211"/>
      <c r="AH56" s="213">
        <v>18.149999999999999</v>
      </c>
      <c r="AI56" s="211"/>
      <c r="AJ56" s="213">
        <v>54.36</v>
      </c>
      <c r="AK56" s="211"/>
      <c r="AL56" s="213">
        <v>133.24</v>
      </c>
      <c r="AM56" s="211"/>
      <c r="AN56" s="213">
        <f t="shared" si="25"/>
        <v>2246.3200000000002</v>
      </c>
      <c r="AO56" s="211"/>
      <c r="AP56" s="213">
        <v>1297.17</v>
      </c>
      <c r="AQ56" s="211"/>
      <c r="AR56" s="213">
        <v>122.85</v>
      </c>
      <c r="AS56" s="211"/>
      <c r="AT56" s="213">
        <f t="shared" si="26"/>
        <v>1420.02</v>
      </c>
      <c r="AU56" s="211"/>
      <c r="AV56" s="213">
        <v>7.63</v>
      </c>
      <c r="AW56" s="211"/>
      <c r="AX56" s="213">
        <v>2970.54</v>
      </c>
      <c r="AY56" s="211"/>
      <c r="AZ56" s="213">
        <v>1814.14</v>
      </c>
      <c r="BA56" s="211"/>
      <c r="BB56" s="213">
        <v>15354.05</v>
      </c>
      <c r="BC56" s="211"/>
      <c r="BD56" s="213">
        <v>28.29</v>
      </c>
      <c r="BE56" s="211"/>
      <c r="BF56" s="213">
        <v>0</v>
      </c>
      <c r="BG56" s="211"/>
      <c r="BH56" s="213">
        <f t="shared" si="27"/>
        <v>20174.650000000001</v>
      </c>
      <c r="BI56" s="211"/>
      <c r="BJ56" s="213">
        <v>0</v>
      </c>
      <c r="BK56" s="211"/>
      <c r="BL56" s="213">
        <f t="shared" si="28"/>
        <v>0</v>
      </c>
      <c r="BM56" s="211"/>
      <c r="BN56" s="213">
        <v>2441.39</v>
      </c>
      <c r="BO56" s="211"/>
      <c r="BP56" s="213">
        <v>2212.67</v>
      </c>
      <c r="BQ56" s="211"/>
      <c r="BR56" s="213">
        <f t="shared" si="29"/>
        <v>4654.0600000000004</v>
      </c>
      <c r="BS56" s="211"/>
      <c r="BT56" s="213">
        <v>1053.5</v>
      </c>
      <c r="BU56" s="211"/>
      <c r="BV56" s="213">
        <v>0</v>
      </c>
      <c r="BW56" s="211"/>
      <c r="BX56" s="213">
        <v>0</v>
      </c>
      <c r="BY56" s="211"/>
      <c r="BZ56" s="213">
        <v>0</v>
      </c>
      <c r="CA56" s="211"/>
      <c r="CB56" s="213">
        <v>0</v>
      </c>
      <c r="CC56" s="211"/>
      <c r="CD56" s="213">
        <f t="shared" si="30"/>
        <v>25882.21</v>
      </c>
      <c r="CE56" s="211"/>
      <c r="CF56" s="213">
        <v>0</v>
      </c>
      <c r="CG56" s="211"/>
      <c r="CH56" s="213">
        <f t="shared" si="31"/>
        <v>29548.55</v>
      </c>
    </row>
    <row r="57" spans="1:86">
      <c r="A57" s="209"/>
      <c r="B57" s="209"/>
      <c r="C57" s="209"/>
      <c r="D57" s="209"/>
      <c r="E57" s="209"/>
      <c r="F57" s="209" t="s">
        <v>161</v>
      </c>
      <c r="G57" s="209"/>
      <c r="H57" s="210">
        <f>ROUND(SUM(H49:H56),5)</f>
        <v>0</v>
      </c>
      <c r="I57" s="211"/>
      <c r="J57" s="210">
        <f>ROUND(SUM(J49:J56),5)</f>
        <v>0</v>
      </c>
      <c r="K57" s="211"/>
      <c r="L57" s="210">
        <f>ROUND(SUM(L49:L56),5)</f>
        <v>0</v>
      </c>
      <c r="M57" s="211"/>
      <c r="N57" s="210">
        <f>ROUND(SUM(N49:N56),5)</f>
        <v>0</v>
      </c>
      <c r="O57" s="211"/>
      <c r="P57" s="210">
        <f>ROUND(SUM(P49:P56),5)</f>
        <v>0</v>
      </c>
      <c r="Q57" s="211"/>
      <c r="R57" s="210">
        <f>ROUND(SUM(R49:R56),5)</f>
        <v>0</v>
      </c>
      <c r="S57" s="211"/>
      <c r="T57" s="210">
        <f t="shared" si="24"/>
        <v>0</v>
      </c>
      <c r="U57" s="211"/>
      <c r="V57" s="210">
        <f>ROUND(SUM(V49:V56),5)</f>
        <v>0</v>
      </c>
      <c r="W57" s="211"/>
      <c r="X57" s="210">
        <f>ROUND(SUM(X49:X56),5)</f>
        <v>0</v>
      </c>
      <c r="Y57" s="211"/>
      <c r="Z57" s="210">
        <f>ROUND(SUM(Z49:Z56),5)</f>
        <v>0</v>
      </c>
      <c r="AA57" s="211"/>
      <c r="AB57" s="210">
        <f>ROUND(SUM(AB49:AB56),5)</f>
        <v>2208.36</v>
      </c>
      <c r="AC57" s="211"/>
      <c r="AD57" s="210">
        <f>ROUND(SUM(AD49:AD56),5)</f>
        <v>2038.16</v>
      </c>
      <c r="AE57" s="211"/>
      <c r="AF57" s="210">
        <f>ROUND(SUM(AF49:AF56),5)</f>
        <v>3029.61</v>
      </c>
      <c r="AG57" s="211"/>
      <c r="AH57" s="210">
        <f>ROUND(SUM(AH49:AH56),5)</f>
        <v>84.27</v>
      </c>
      <c r="AI57" s="211"/>
      <c r="AJ57" s="210">
        <f>ROUND(SUM(AJ49:AJ56),5)</f>
        <v>2818.28</v>
      </c>
      <c r="AK57" s="211"/>
      <c r="AL57" s="210">
        <f>ROUND(SUM(AL49:AL56),5)</f>
        <v>3519.75</v>
      </c>
      <c r="AM57" s="211"/>
      <c r="AN57" s="210">
        <f t="shared" si="25"/>
        <v>13698.43</v>
      </c>
      <c r="AO57" s="211"/>
      <c r="AP57" s="210">
        <f>ROUND(SUM(AP49:AP56),5)</f>
        <v>2535.09</v>
      </c>
      <c r="AQ57" s="211"/>
      <c r="AR57" s="210">
        <f>ROUND(SUM(AR49:AR56),5)</f>
        <v>689.06</v>
      </c>
      <c r="AS57" s="211"/>
      <c r="AT57" s="210">
        <f t="shared" si="26"/>
        <v>3224.15</v>
      </c>
      <c r="AU57" s="211"/>
      <c r="AV57" s="210">
        <f>ROUND(SUM(AV49:AV56),5)</f>
        <v>10.86</v>
      </c>
      <c r="AW57" s="211"/>
      <c r="AX57" s="210">
        <f>ROUND(SUM(AX49:AX56),5)</f>
        <v>9947.3700000000008</v>
      </c>
      <c r="AY57" s="211"/>
      <c r="AZ57" s="210">
        <f>ROUND(SUM(AZ49:AZ56),5)</f>
        <v>6154.77</v>
      </c>
      <c r="BA57" s="211"/>
      <c r="BB57" s="210">
        <f>ROUND(SUM(BB49:BB56),5)</f>
        <v>55376.91</v>
      </c>
      <c r="BC57" s="211"/>
      <c r="BD57" s="210">
        <f>ROUND(SUM(BD49:BD56),5)</f>
        <v>120.12</v>
      </c>
      <c r="BE57" s="211"/>
      <c r="BF57" s="210">
        <f>ROUND(SUM(BF49:BF56),5)</f>
        <v>0</v>
      </c>
      <c r="BG57" s="211"/>
      <c r="BH57" s="210">
        <f t="shared" si="27"/>
        <v>71610.03</v>
      </c>
      <c r="BI57" s="211"/>
      <c r="BJ57" s="210">
        <f>ROUND(SUM(BJ49:BJ56),5)</f>
        <v>0</v>
      </c>
      <c r="BK57" s="211"/>
      <c r="BL57" s="210">
        <f t="shared" si="28"/>
        <v>0</v>
      </c>
      <c r="BM57" s="211"/>
      <c r="BN57" s="210">
        <f>ROUND(SUM(BN49:BN56),5)</f>
        <v>6136</v>
      </c>
      <c r="BO57" s="211"/>
      <c r="BP57" s="210">
        <f>ROUND(SUM(BP49:BP56),5)</f>
        <v>3855.4</v>
      </c>
      <c r="BQ57" s="211"/>
      <c r="BR57" s="210">
        <f t="shared" si="29"/>
        <v>9991.4</v>
      </c>
      <c r="BS57" s="211"/>
      <c r="BT57" s="210">
        <f>ROUND(SUM(BT49:BT56),5)</f>
        <v>73020.070000000007</v>
      </c>
      <c r="BU57" s="211"/>
      <c r="BV57" s="210">
        <f>ROUND(SUM(BV49:BV56),5)</f>
        <v>0</v>
      </c>
      <c r="BW57" s="211"/>
      <c r="BX57" s="210">
        <f>ROUND(SUM(BX49:BX56),5)</f>
        <v>0</v>
      </c>
      <c r="BY57" s="211"/>
      <c r="BZ57" s="210">
        <f>ROUND(SUM(BZ49:BZ56),5)</f>
        <v>-2302.65</v>
      </c>
      <c r="CA57" s="211"/>
      <c r="CB57" s="210">
        <f>ROUND(SUM(CB49:CB56),5)</f>
        <v>0</v>
      </c>
      <c r="CC57" s="211"/>
      <c r="CD57" s="210">
        <f t="shared" si="30"/>
        <v>152318.85</v>
      </c>
      <c r="CE57" s="211"/>
      <c r="CF57" s="210">
        <f>ROUND(SUM(CF49:CF56),5)</f>
        <v>30.07</v>
      </c>
      <c r="CG57" s="211"/>
      <c r="CH57" s="210">
        <f t="shared" si="31"/>
        <v>169271.5</v>
      </c>
    </row>
    <row r="58" spans="1:86">
      <c r="A58" s="209"/>
      <c r="B58" s="209"/>
      <c r="C58" s="209"/>
      <c r="D58" s="209"/>
      <c r="E58" s="209"/>
      <c r="F58" s="209" t="s">
        <v>162</v>
      </c>
      <c r="G58" s="209"/>
      <c r="H58" s="210"/>
      <c r="I58" s="211"/>
      <c r="J58" s="210"/>
      <c r="K58" s="211"/>
      <c r="L58" s="210"/>
      <c r="M58" s="211"/>
      <c r="N58" s="210"/>
      <c r="O58" s="211"/>
      <c r="P58" s="210"/>
      <c r="Q58" s="211"/>
      <c r="R58" s="210"/>
      <c r="S58" s="211"/>
      <c r="T58" s="210"/>
      <c r="U58" s="211"/>
      <c r="V58" s="210"/>
      <c r="W58" s="211"/>
      <c r="X58" s="210"/>
      <c r="Y58" s="211"/>
      <c r="Z58" s="210"/>
      <c r="AA58" s="211"/>
      <c r="AB58" s="210"/>
      <c r="AC58" s="211"/>
      <c r="AD58" s="210"/>
      <c r="AE58" s="211"/>
      <c r="AF58" s="210"/>
      <c r="AG58" s="211"/>
      <c r="AH58" s="210"/>
      <c r="AI58" s="211"/>
      <c r="AJ58" s="210"/>
      <c r="AK58" s="211"/>
      <c r="AL58" s="210"/>
      <c r="AM58" s="211"/>
      <c r="AN58" s="210"/>
      <c r="AO58" s="211"/>
      <c r="AP58" s="210"/>
      <c r="AQ58" s="211"/>
      <c r="AR58" s="210"/>
      <c r="AS58" s="211"/>
      <c r="AT58" s="210"/>
      <c r="AU58" s="211"/>
      <c r="AV58" s="210"/>
      <c r="AW58" s="211"/>
      <c r="AX58" s="210"/>
      <c r="AY58" s="211"/>
      <c r="AZ58" s="210"/>
      <c r="BA58" s="211"/>
      <c r="BB58" s="210"/>
      <c r="BC58" s="211"/>
      <c r="BD58" s="210"/>
      <c r="BE58" s="211"/>
      <c r="BF58" s="210"/>
      <c r="BG58" s="211"/>
      <c r="BH58" s="210"/>
      <c r="BI58" s="211"/>
      <c r="BJ58" s="210"/>
      <c r="BK58" s="211"/>
      <c r="BL58" s="210"/>
      <c r="BM58" s="211"/>
      <c r="BN58" s="210"/>
      <c r="BO58" s="211"/>
      <c r="BP58" s="210"/>
      <c r="BQ58" s="211"/>
      <c r="BR58" s="210"/>
      <c r="BS58" s="211"/>
      <c r="BT58" s="210"/>
      <c r="BU58" s="211"/>
      <c r="BV58" s="210"/>
      <c r="BW58" s="211"/>
      <c r="BX58" s="210"/>
      <c r="BY58" s="211"/>
      <c r="BZ58" s="210"/>
      <c r="CA58" s="211"/>
      <c r="CB58" s="210"/>
      <c r="CC58" s="211"/>
      <c r="CD58" s="210"/>
      <c r="CE58" s="211"/>
      <c r="CF58" s="210"/>
      <c r="CG58" s="211"/>
      <c r="CH58" s="210"/>
    </row>
    <row r="59" spans="1:86">
      <c r="A59" s="209"/>
      <c r="B59" s="209"/>
      <c r="C59" s="209"/>
      <c r="D59" s="209"/>
      <c r="E59" s="209"/>
      <c r="F59" s="209"/>
      <c r="G59" s="209" t="s">
        <v>163</v>
      </c>
      <c r="H59" s="210">
        <v>0</v>
      </c>
      <c r="I59" s="211"/>
      <c r="J59" s="210">
        <v>0</v>
      </c>
      <c r="K59" s="211"/>
      <c r="L59" s="210">
        <v>0</v>
      </c>
      <c r="M59" s="211"/>
      <c r="N59" s="210">
        <v>0</v>
      </c>
      <c r="O59" s="211"/>
      <c r="P59" s="210">
        <v>0</v>
      </c>
      <c r="Q59" s="211"/>
      <c r="R59" s="210">
        <v>0</v>
      </c>
      <c r="S59" s="211"/>
      <c r="T59" s="210">
        <f>ROUND(SUM(P59:R59),5)</f>
        <v>0</v>
      </c>
      <c r="U59" s="211"/>
      <c r="V59" s="210">
        <v>0</v>
      </c>
      <c r="W59" s="211"/>
      <c r="X59" s="210">
        <v>0</v>
      </c>
      <c r="Y59" s="211"/>
      <c r="Z59" s="210">
        <v>0</v>
      </c>
      <c r="AA59" s="211"/>
      <c r="AB59" s="210">
        <v>0</v>
      </c>
      <c r="AC59" s="211"/>
      <c r="AD59" s="210">
        <v>0</v>
      </c>
      <c r="AE59" s="211"/>
      <c r="AF59" s="210">
        <v>1421</v>
      </c>
      <c r="AG59" s="211"/>
      <c r="AH59" s="210">
        <v>0</v>
      </c>
      <c r="AI59" s="211"/>
      <c r="AJ59" s="210">
        <v>2646.73</v>
      </c>
      <c r="AK59" s="211"/>
      <c r="AL59" s="210">
        <v>0</v>
      </c>
      <c r="AM59" s="211"/>
      <c r="AN59" s="210">
        <f>ROUND(SUM(X59:AL59),5)</f>
        <v>4067.73</v>
      </c>
      <c r="AO59" s="211"/>
      <c r="AP59" s="210">
        <v>1076.79</v>
      </c>
      <c r="AQ59" s="211"/>
      <c r="AR59" s="210">
        <v>9342.99</v>
      </c>
      <c r="AS59" s="211"/>
      <c r="AT59" s="210">
        <f>ROUND(SUM(AP59:AR59),5)</f>
        <v>10419.780000000001</v>
      </c>
      <c r="AU59" s="211"/>
      <c r="AV59" s="210">
        <v>0</v>
      </c>
      <c r="AW59" s="211"/>
      <c r="AX59" s="210">
        <v>701.41</v>
      </c>
      <c r="AY59" s="211"/>
      <c r="AZ59" s="210">
        <v>858.59</v>
      </c>
      <c r="BA59" s="211"/>
      <c r="BB59" s="210">
        <v>3397.41</v>
      </c>
      <c r="BC59" s="211"/>
      <c r="BD59" s="210">
        <v>1.46</v>
      </c>
      <c r="BE59" s="211"/>
      <c r="BF59" s="210">
        <v>0</v>
      </c>
      <c r="BG59" s="211"/>
      <c r="BH59" s="210">
        <f>ROUND(SUM(AV59:BF59),5)</f>
        <v>4958.87</v>
      </c>
      <c r="BI59" s="211"/>
      <c r="BJ59" s="210">
        <v>0</v>
      </c>
      <c r="BK59" s="211"/>
      <c r="BL59" s="210">
        <f>BJ59</f>
        <v>0</v>
      </c>
      <c r="BM59" s="211"/>
      <c r="BN59" s="210">
        <v>205.67</v>
      </c>
      <c r="BO59" s="211"/>
      <c r="BP59" s="210">
        <v>77.36</v>
      </c>
      <c r="BQ59" s="211"/>
      <c r="BR59" s="210">
        <f>ROUND(SUM(BN59:BP59),5)</f>
        <v>283.02999999999997</v>
      </c>
      <c r="BS59" s="211"/>
      <c r="BT59" s="210">
        <v>3129.18</v>
      </c>
      <c r="BU59" s="211"/>
      <c r="BV59" s="210">
        <v>803.2</v>
      </c>
      <c r="BW59" s="211"/>
      <c r="BX59" s="210">
        <v>0</v>
      </c>
      <c r="BY59" s="211"/>
      <c r="BZ59" s="210">
        <v>0</v>
      </c>
      <c r="CA59" s="211"/>
      <c r="CB59" s="210">
        <v>0</v>
      </c>
      <c r="CC59" s="211"/>
      <c r="CD59" s="210">
        <f>ROUND(BH59+BL59+SUM(BR59:CB59),5)</f>
        <v>9174.2800000000007</v>
      </c>
      <c r="CE59" s="211"/>
      <c r="CF59" s="210">
        <v>0</v>
      </c>
      <c r="CG59" s="211"/>
      <c r="CH59" s="210">
        <f>ROUND(SUM(H59:N59)+SUM(T59:V59)+AN59+AT59+SUM(CD59:CF59),5)</f>
        <v>23661.79</v>
      </c>
    </row>
    <row r="60" spans="1:86">
      <c r="A60" s="209"/>
      <c r="B60" s="209"/>
      <c r="C60" s="209"/>
      <c r="D60" s="209"/>
      <c r="E60" s="209"/>
      <c r="F60" s="209"/>
      <c r="G60" s="209" t="s">
        <v>167</v>
      </c>
      <c r="H60" s="210">
        <v>0</v>
      </c>
      <c r="I60" s="211"/>
      <c r="J60" s="210">
        <v>0</v>
      </c>
      <c r="K60" s="211"/>
      <c r="L60" s="210">
        <v>0</v>
      </c>
      <c r="M60" s="211"/>
      <c r="N60" s="210">
        <v>0</v>
      </c>
      <c r="O60" s="211"/>
      <c r="P60" s="210">
        <v>0</v>
      </c>
      <c r="Q60" s="211"/>
      <c r="R60" s="210">
        <v>0</v>
      </c>
      <c r="S60" s="211"/>
      <c r="T60" s="210">
        <f>ROUND(SUM(P60:R60),5)</f>
        <v>0</v>
      </c>
      <c r="U60" s="211"/>
      <c r="V60" s="210">
        <v>0</v>
      </c>
      <c r="W60" s="211"/>
      <c r="X60" s="210">
        <v>0</v>
      </c>
      <c r="Y60" s="211"/>
      <c r="Z60" s="210">
        <v>0</v>
      </c>
      <c r="AA60" s="211"/>
      <c r="AB60" s="210">
        <v>46.27</v>
      </c>
      <c r="AC60" s="211"/>
      <c r="AD60" s="210">
        <v>96.04</v>
      </c>
      <c r="AE60" s="211"/>
      <c r="AF60" s="210">
        <v>22.79</v>
      </c>
      <c r="AG60" s="211"/>
      <c r="AH60" s="210">
        <v>0</v>
      </c>
      <c r="AI60" s="211"/>
      <c r="AJ60" s="210">
        <v>0</v>
      </c>
      <c r="AK60" s="211"/>
      <c r="AL60" s="210">
        <v>35.47</v>
      </c>
      <c r="AM60" s="211"/>
      <c r="AN60" s="210">
        <f>ROUND(SUM(X60:AL60),5)</f>
        <v>200.57</v>
      </c>
      <c r="AO60" s="211"/>
      <c r="AP60" s="210">
        <v>122.76</v>
      </c>
      <c r="AQ60" s="211"/>
      <c r="AR60" s="210">
        <v>32</v>
      </c>
      <c r="AS60" s="211"/>
      <c r="AT60" s="210">
        <f>ROUND(SUM(AP60:AR60),5)</f>
        <v>154.76</v>
      </c>
      <c r="AU60" s="211"/>
      <c r="AV60" s="210">
        <v>0</v>
      </c>
      <c r="AW60" s="211"/>
      <c r="AX60" s="210">
        <v>580.23</v>
      </c>
      <c r="AY60" s="211"/>
      <c r="AZ60" s="210">
        <v>287.41000000000003</v>
      </c>
      <c r="BA60" s="211"/>
      <c r="BB60" s="210">
        <v>2855.37</v>
      </c>
      <c r="BC60" s="211"/>
      <c r="BD60" s="210">
        <v>0</v>
      </c>
      <c r="BE60" s="211"/>
      <c r="BF60" s="210">
        <v>0</v>
      </c>
      <c r="BG60" s="211"/>
      <c r="BH60" s="210">
        <f>ROUND(SUM(AV60:BF60),5)</f>
        <v>3723.01</v>
      </c>
      <c r="BI60" s="211"/>
      <c r="BJ60" s="210">
        <v>0</v>
      </c>
      <c r="BK60" s="211"/>
      <c r="BL60" s="210">
        <f>BJ60</f>
        <v>0</v>
      </c>
      <c r="BM60" s="211"/>
      <c r="BN60" s="210">
        <v>417.28</v>
      </c>
      <c r="BO60" s="211"/>
      <c r="BP60" s="210">
        <v>173.86</v>
      </c>
      <c r="BQ60" s="211"/>
      <c r="BR60" s="210">
        <f>ROUND(SUM(BN60:BP60),5)</f>
        <v>591.14</v>
      </c>
      <c r="BS60" s="211"/>
      <c r="BT60" s="210">
        <v>28051.54</v>
      </c>
      <c r="BU60" s="211"/>
      <c r="BV60" s="210">
        <v>0</v>
      </c>
      <c r="BW60" s="211"/>
      <c r="BX60" s="210">
        <v>0</v>
      </c>
      <c r="BY60" s="211"/>
      <c r="BZ60" s="210">
        <v>0</v>
      </c>
      <c r="CA60" s="211"/>
      <c r="CB60" s="210">
        <v>0</v>
      </c>
      <c r="CC60" s="211"/>
      <c r="CD60" s="210">
        <f>ROUND(BH60+BL60+SUM(BR60:CB60),5)</f>
        <v>32365.69</v>
      </c>
      <c r="CE60" s="211"/>
      <c r="CF60" s="210">
        <v>0</v>
      </c>
      <c r="CG60" s="211"/>
      <c r="CH60" s="210">
        <f>ROUND(SUM(H60:N60)+SUM(T60:V60)+AN60+AT60+SUM(CD60:CF60),5)</f>
        <v>32721.02</v>
      </c>
    </row>
    <row r="61" spans="1:86" ht="15" thickBot="1">
      <c r="A61" s="209"/>
      <c r="B61" s="209"/>
      <c r="C61" s="209"/>
      <c r="D61" s="209"/>
      <c r="E61" s="209"/>
      <c r="F61" s="209"/>
      <c r="G61" s="209" t="s">
        <v>169</v>
      </c>
      <c r="H61" s="213">
        <v>0</v>
      </c>
      <c r="I61" s="211"/>
      <c r="J61" s="213">
        <v>0</v>
      </c>
      <c r="K61" s="211"/>
      <c r="L61" s="213">
        <v>0</v>
      </c>
      <c r="M61" s="211"/>
      <c r="N61" s="213">
        <v>0</v>
      </c>
      <c r="O61" s="211"/>
      <c r="P61" s="213">
        <v>0</v>
      </c>
      <c r="Q61" s="211"/>
      <c r="R61" s="213">
        <v>0</v>
      </c>
      <c r="S61" s="211"/>
      <c r="T61" s="213">
        <f>ROUND(SUM(P61:R61),5)</f>
        <v>0</v>
      </c>
      <c r="U61" s="211"/>
      <c r="V61" s="213">
        <v>0</v>
      </c>
      <c r="W61" s="211"/>
      <c r="X61" s="213">
        <v>0</v>
      </c>
      <c r="Y61" s="211"/>
      <c r="Z61" s="213">
        <v>0</v>
      </c>
      <c r="AA61" s="211"/>
      <c r="AB61" s="213">
        <v>0</v>
      </c>
      <c r="AC61" s="211"/>
      <c r="AD61" s="213">
        <v>0</v>
      </c>
      <c r="AE61" s="211"/>
      <c r="AF61" s="213">
        <v>0</v>
      </c>
      <c r="AG61" s="211"/>
      <c r="AH61" s="213">
        <v>0</v>
      </c>
      <c r="AI61" s="211"/>
      <c r="AJ61" s="213">
        <v>0</v>
      </c>
      <c r="AK61" s="211"/>
      <c r="AL61" s="213">
        <v>120.41</v>
      </c>
      <c r="AM61" s="211"/>
      <c r="AN61" s="213">
        <f>ROUND(SUM(X61:AL61),5)</f>
        <v>120.41</v>
      </c>
      <c r="AO61" s="211"/>
      <c r="AP61" s="213">
        <v>0</v>
      </c>
      <c r="AQ61" s="211"/>
      <c r="AR61" s="213">
        <v>0</v>
      </c>
      <c r="AS61" s="211"/>
      <c r="AT61" s="213">
        <f>ROUND(SUM(AP61:AR61),5)</f>
        <v>0</v>
      </c>
      <c r="AU61" s="211"/>
      <c r="AV61" s="213">
        <v>0</v>
      </c>
      <c r="AW61" s="211"/>
      <c r="AX61" s="213">
        <v>0</v>
      </c>
      <c r="AY61" s="211"/>
      <c r="AZ61" s="213">
        <v>0</v>
      </c>
      <c r="BA61" s="211"/>
      <c r="BB61" s="213">
        <v>126.26</v>
      </c>
      <c r="BC61" s="211"/>
      <c r="BD61" s="213">
        <v>0</v>
      </c>
      <c r="BE61" s="211"/>
      <c r="BF61" s="213">
        <v>0</v>
      </c>
      <c r="BG61" s="211"/>
      <c r="BH61" s="213">
        <f>ROUND(SUM(AV61:BF61),5)</f>
        <v>126.26</v>
      </c>
      <c r="BI61" s="211"/>
      <c r="BJ61" s="213">
        <v>0</v>
      </c>
      <c r="BK61" s="211"/>
      <c r="BL61" s="213">
        <f>BJ61</f>
        <v>0</v>
      </c>
      <c r="BM61" s="211"/>
      <c r="BN61" s="213">
        <v>11.24</v>
      </c>
      <c r="BO61" s="211"/>
      <c r="BP61" s="213">
        <v>20.2</v>
      </c>
      <c r="BQ61" s="211"/>
      <c r="BR61" s="213">
        <f>ROUND(SUM(BN61:BP61),5)</f>
        <v>31.44</v>
      </c>
      <c r="BS61" s="211"/>
      <c r="BT61" s="213">
        <v>122722.58</v>
      </c>
      <c r="BU61" s="211"/>
      <c r="BV61" s="213">
        <v>0</v>
      </c>
      <c r="BW61" s="211"/>
      <c r="BX61" s="213">
        <v>0</v>
      </c>
      <c r="BY61" s="211"/>
      <c r="BZ61" s="213">
        <v>0</v>
      </c>
      <c r="CA61" s="211"/>
      <c r="CB61" s="213">
        <v>0</v>
      </c>
      <c r="CC61" s="211"/>
      <c r="CD61" s="213">
        <f>ROUND(BH61+BL61+SUM(BR61:CB61),5)</f>
        <v>122880.28</v>
      </c>
      <c r="CE61" s="211"/>
      <c r="CF61" s="213">
        <v>0</v>
      </c>
      <c r="CG61" s="211"/>
      <c r="CH61" s="213">
        <f>ROUND(SUM(H61:N61)+SUM(T61:V61)+AN61+AT61+SUM(CD61:CF61),5)</f>
        <v>123000.69</v>
      </c>
    </row>
    <row r="62" spans="1:86">
      <c r="A62" s="209"/>
      <c r="B62" s="209"/>
      <c r="C62" s="209"/>
      <c r="D62" s="209"/>
      <c r="E62" s="209"/>
      <c r="F62" s="209" t="s">
        <v>171</v>
      </c>
      <c r="G62" s="209"/>
      <c r="H62" s="210">
        <f>ROUND(SUM(H58:H61),5)</f>
        <v>0</v>
      </c>
      <c r="I62" s="211"/>
      <c r="J62" s="210">
        <f>ROUND(SUM(J58:J61),5)</f>
        <v>0</v>
      </c>
      <c r="K62" s="211"/>
      <c r="L62" s="210">
        <f>ROUND(SUM(L58:L61),5)</f>
        <v>0</v>
      </c>
      <c r="M62" s="211"/>
      <c r="N62" s="210">
        <f>ROUND(SUM(N58:N61),5)</f>
        <v>0</v>
      </c>
      <c r="O62" s="211"/>
      <c r="P62" s="210">
        <f>ROUND(SUM(P58:P61),5)</f>
        <v>0</v>
      </c>
      <c r="Q62" s="211"/>
      <c r="R62" s="210">
        <f>ROUND(SUM(R58:R61),5)</f>
        <v>0</v>
      </c>
      <c r="S62" s="211"/>
      <c r="T62" s="210">
        <f>ROUND(SUM(P62:R62),5)</f>
        <v>0</v>
      </c>
      <c r="U62" s="211"/>
      <c r="V62" s="210">
        <f>ROUND(SUM(V58:V61),5)</f>
        <v>0</v>
      </c>
      <c r="W62" s="211"/>
      <c r="X62" s="210">
        <f>ROUND(SUM(X58:X61),5)</f>
        <v>0</v>
      </c>
      <c r="Y62" s="211"/>
      <c r="Z62" s="210">
        <f>ROUND(SUM(Z58:Z61),5)</f>
        <v>0</v>
      </c>
      <c r="AA62" s="211"/>
      <c r="AB62" s="210">
        <f>ROUND(SUM(AB58:AB61),5)</f>
        <v>46.27</v>
      </c>
      <c r="AC62" s="211"/>
      <c r="AD62" s="210">
        <f>ROUND(SUM(AD58:AD61),5)</f>
        <v>96.04</v>
      </c>
      <c r="AE62" s="211"/>
      <c r="AF62" s="210">
        <f>ROUND(SUM(AF58:AF61),5)</f>
        <v>1443.79</v>
      </c>
      <c r="AG62" s="211"/>
      <c r="AH62" s="210">
        <f>ROUND(SUM(AH58:AH61),5)</f>
        <v>0</v>
      </c>
      <c r="AI62" s="211"/>
      <c r="AJ62" s="210">
        <f>ROUND(SUM(AJ58:AJ61),5)</f>
        <v>2646.73</v>
      </c>
      <c r="AK62" s="211"/>
      <c r="AL62" s="210">
        <f>ROUND(SUM(AL58:AL61),5)</f>
        <v>155.88</v>
      </c>
      <c r="AM62" s="211"/>
      <c r="AN62" s="210">
        <f>ROUND(SUM(X62:AL62),5)</f>
        <v>4388.71</v>
      </c>
      <c r="AO62" s="211"/>
      <c r="AP62" s="210">
        <f>ROUND(SUM(AP58:AP61),5)</f>
        <v>1199.55</v>
      </c>
      <c r="AQ62" s="211"/>
      <c r="AR62" s="210">
        <f>ROUND(SUM(AR58:AR61),5)</f>
        <v>9374.99</v>
      </c>
      <c r="AS62" s="211"/>
      <c r="AT62" s="210">
        <f>ROUND(SUM(AP62:AR62),5)</f>
        <v>10574.54</v>
      </c>
      <c r="AU62" s="211"/>
      <c r="AV62" s="210">
        <f>ROUND(SUM(AV58:AV61),5)</f>
        <v>0</v>
      </c>
      <c r="AW62" s="211"/>
      <c r="AX62" s="210">
        <f>ROUND(SUM(AX58:AX61),5)</f>
        <v>1281.6400000000001</v>
      </c>
      <c r="AY62" s="211"/>
      <c r="AZ62" s="210">
        <f>ROUND(SUM(AZ58:AZ61),5)</f>
        <v>1146</v>
      </c>
      <c r="BA62" s="211"/>
      <c r="BB62" s="210">
        <f>ROUND(SUM(BB58:BB61),5)</f>
        <v>6379.04</v>
      </c>
      <c r="BC62" s="211"/>
      <c r="BD62" s="210">
        <f>ROUND(SUM(BD58:BD61),5)</f>
        <v>1.46</v>
      </c>
      <c r="BE62" s="211"/>
      <c r="BF62" s="210">
        <f>ROUND(SUM(BF58:BF61),5)</f>
        <v>0</v>
      </c>
      <c r="BG62" s="211"/>
      <c r="BH62" s="210">
        <f>ROUND(SUM(AV62:BF62),5)</f>
        <v>8808.14</v>
      </c>
      <c r="BI62" s="211"/>
      <c r="BJ62" s="210">
        <f>ROUND(SUM(BJ58:BJ61),5)</f>
        <v>0</v>
      </c>
      <c r="BK62" s="211"/>
      <c r="BL62" s="210">
        <f>BJ62</f>
        <v>0</v>
      </c>
      <c r="BM62" s="211"/>
      <c r="BN62" s="210">
        <f>ROUND(SUM(BN58:BN61),5)</f>
        <v>634.19000000000005</v>
      </c>
      <c r="BO62" s="211"/>
      <c r="BP62" s="210">
        <f>ROUND(SUM(BP58:BP61),5)</f>
        <v>271.42</v>
      </c>
      <c r="BQ62" s="211"/>
      <c r="BR62" s="210">
        <f>ROUND(SUM(BN62:BP62),5)</f>
        <v>905.61</v>
      </c>
      <c r="BS62" s="211"/>
      <c r="BT62" s="210">
        <f>ROUND(SUM(BT58:BT61),5)</f>
        <v>153903.29999999999</v>
      </c>
      <c r="BU62" s="211"/>
      <c r="BV62" s="210">
        <f>ROUND(SUM(BV58:BV61),5)</f>
        <v>803.2</v>
      </c>
      <c r="BW62" s="211"/>
      <c r="BX62" s="210">
        <f>ROUND(SUM(BX58:BX61),5)</f>
        <v>0</v>
      </c>
      <c r="BY62" s="211"/>
      <c r="BZ62" s="210">
        <f>ROUND(SUM(BZ58:BZ61),5)</f>
        <v>0</v>
      </c>
      <c r="CA62" s="211"/>
      <c r="CB62" s="210">
        <f>ROUND(SUM(CB58:CB61),5)</f>
        <v>0</v>
      </c>
      <c r="CC62" s="211"/>
      <c r="CD62" s="210">
        <f>ROUND(BH62+BL62+SUM(BR62:CB62),5)</f>
        <v>164420.25</v>
      </c>
      <c r="CE62" s="211"/>
      <c r="CF62" s="210">
        <f>ROUND(SUM(CF58:CF61),5)</f>
        <v>0</v>
      </c>
      <c r="CG62" s="211"/>
      <c r="CH62" s="210">
        <f>ROUND(SUM(H62:N62)+SUM(T62:V62)+AN62+AT62+SUM(CD62:CF62),5)</f>
        <v>179383.5</v>
      </c>
    </row>
    <row r="63" spans="1:86">
      <c r="A63" s="209"/>
      <c r="B63" s="209"/>
      <c r="C63" s="209"/>
      <c r="D63" s="209"/>
      <c r="E63" s="209"/>
      <c r="F63" s="209" t="s">
        <v>172</v>
      </c>
      <c r="G63" s="209"/>
      <c r="H63" s="210"/>
      <c r="I63" s="211"/>
      <c r="J63" s="210"/>
      <c r="K63" s="211"/>
      <c r="L63" s="210"/>
      <c r="M63" s="211"/>
      <c r="N63" s="210"/>
      <c r="O63" s="211"/>
      <c r="P63" s="210"/>
      <c r="Q63" s="211"/>
      <c r="R63" s="210"/>
      <c r="S63" s="211"/>
      <c r="T63" s="210"/>
      <c r="U63" s="211"/>
      <c r="V63" s="210"/>
      <c r="W63" s="211"/>
      <c r="X63" s="210"/>
      <c r="Y63" s="211"/>
      <c r="Z63" s="210"/>
      <c r="AA63" s="211"/>
      <c r="AB63" s="210"/>
      <c r="AC63" s="211"/>
      <c r="AD63" s="210"/>
      <c r="AE63" s="211"/>
      <c r="AF63" s="210"/>
      <c r="AG63" s="211"/>
      <c r="AH63" s="210"/>
      <c r="AI63" s="211"/>
      <c r="AJ63" s="210"/>
      <c r="AK63" s="211"/>
      <c r="AL63" s="210"/>
      <c r="AM63" s="211"/>
      <c r="AN63" s="210"/>
      <c r="AO63" s="211"/>
      <c r="AP63" s="210"/>
      <c r="AQ63" s="211"/>
      <c r="AR63" s="210"/>
      <c r="AS63" s="211"/>
      <c r="AT63" s="210"/>
      <c r="AU63" s="211"/>
      <c r="AV63" s="210"/>
      <c r="AW63" s="211"/>
      <c r="AX63" s="210"/>
      <c r="AY63" s="211"/>
      <c r="AZ63" s="210"/>
      <c r="BA63" s="211"/>
      <c r="BB63" s="210"/>
      <c r="BC63" s="211"/>
      <c r="BD63" s="210"/>
      <c r="BE63" s="211"/>
      <c r="BF63" s="210"/>
      <c r="BG63" s="211"/>
      <c r="BH63" s="210"/>
      <c r="BI63" s="211"/>
      <c r="BJ63" s="210"/>
      <c r="BK63" s="211"/>
      <c r="BL63" s="210"/>
      <c r="BM63" s="211"/>
      <c r="BN63" s="210"/>
      <c r="BO63" s="211"/>
      <c r="BP63" s="210"/>
      <c r="BQ63" s="211"/>
      <c r="BR63" s="210"/>
      <c r="BS63" s="211"/>
      <c r="BT63" s="210"/>
      <c r="BU63" s="211"/>
      <c r="BV63" s="210"/>
      <c r="BW63" s="211"/>
      <c r="BX63" s="210"/>
      <c r="BY63" s="211"/>
      <c r="BZ63" s="210"/>
      <c r="CA63" s="211"/>
      <c r="CB63" s="210"/>
      <c r="CC63" s="211"/>
      <c r="CD63" s="210"/>
      <c r="CE63" s="211"/>
      <c r="CF63" s="210"/>
      <c r="CG63" s="211"/>
      <c r="CH63" s="210"/>
    </row>
    <row r="64" spans="1:86">
      <c r="A64" s="209"/>
      <c r="B64" s="209"/>
      <c r="C64" s="209"/>
      <c r="D64" s="209"/>
      <c r="E64" s="209"/>
      <c r="F64" s="209"/>
      <c r="G64" s="209" t="s">
        <v>173</v>
      </c>
      <c r="H64" s="210">
        <v>0</v>
      </c>
      <c r="I64" s="211"/>
      <c r="J64" s="210">
        <v>0</v>
      </c>
      <c r="K64" s="211"/>
      <c r="L64" s="210">
        <v>0</v>
      </c>
      <c r="M64" s="211"/>
      <c r="N64" s="210">
        <v>0</v>
      </c>
      <c r="O64" s="211"/>
      <c r="P64" s="210">
        <v>0</v>
      </c>
      <c r="Q64" s="211"/>
      <c r="R64" s="210">
        <v>0</v>
      </c>
      <c r="S64" s="211"/>
      <c r="T64" s="210">
        <f t="shared" ref="T64:T69" si="32">ROUND(SUM(P64:R64),5)</f>
        <v>0</v>
      </c>
      <c r="U64" s="211"/>
      <c r="V64" s="210">
        <v>0</v>
      </c>
      <c r="W64" s="211"/>
      <c r="X64" s="210">
        <v>0</v>
      </c>
      <c r="Y64" s="211"/>
      <c r="Z64" s="210">
        <v>0</v>
      </c>
      <c r="AA64" s="211"/>
      <c r="AB64" s="210">
        <v>42.61</v>
      </c>
      <c r="AC64" s="211"/>
      <c r="AD64" s="210">
        <v>61.59</v>
      </c>
      <c r="AE64" s="211"/>
      <c r="AF64" s="210">
        <v>635.45000000000005</v>
      </c>
      <c r="AG64" s="211"/>
      <c r="AH64" s="210">
        <v>60.31</v>
      </c>
      <c r="AI64" s="211"/>
      <c r="AJ64" s="210">
        <v>0</v>
      </c>
      <c r="AK64" s="211"/>
      <c r="AL64" s="210">
        <v>0</v>
      </c>
      <c r="AM64" s="211"/>
      <c r="AN64" s="210">
        <f t="shared" ref="AN64:AN69" si="33">ROUND(SUM(X64:AL64),5)</f>
        <v>799.96</v>
      </c>
      <c r="AO64" s="211"/>
      <c r="AP64" s="210">
        <v>852.07</v>
      </c>
      <c r="AQ64" s="211"/>
      <c r="AR64" s="210">
        <v>0</v>
      </c>
      <c r="AS64" s="211"/>
      <c r="AT64" s="210">
        <f t="shared" ref="AT64:AT69" si="34">ROUND(SUM(AP64:AR64),5)</f>
        <v>852.07</v>
      </c>
      <c r="AU64" s="211"/>
      <c r="AV64" s="210">
        <v>142.46</v>
      </c>
      <c r="AW64" s="211"/>
      <c r="AX64" s="210">
        <v>2331.42</v>
      </c>
      <c r="AY64" s="211"/>
      <c r="AZ64" s="210">
        <v>72.930000000000007</v>
      </c>
      <c r="BA64" s="211"/>
      <c r="BB64" s="210">
        <v>2099.4699999999998</v>
      </c>
      <c r="BC64" s="211"/>
      <c r="BD64" s="210">
        <v>349.95</v>
      </c>
      <c r="BE64" s="211"/>
      <c r="BF64" s="210">
        <v>0</v>
      </c>
      <c r="BG64" s="211"/>
      <c r="BH64" s="210">
        <f t="shared" ref="BH64:BH69" si="35">ROUND(SUM(AV64:BF64),5)</f>
        <v>4996.2299999999996</v>
      </c>
      <c r="BI64" s="211"/>
      <c r="BJ64" s="210">
        <v>0</v>
      </c>
      <c r="BK64" s="211"/>
      <c r="BL64" s="210">
        <f t="shared" ref="BL64:BL69" si="36">BJ64</f>
        <v>0</v>
      </c>
      <c r="BM64" s="211"/>
      <c r="BN64" s="210">
        <v>266.52</v>
      </c>
      <c r="BO64" s="211"/>
      <c r="BP64" s="210">
        <v>61.81</v>
      </c>
      <c r="BQ64" s="211"/>
      <c r="BR64" s="210">
        <f t="shared" ref="BR64:BR69" si="37">ROUND(SUM(BN64:BP64),5)</f>
        <v>328.33</v>
      </c>
      <c r="BS64" s="211"/>
      <c r="BT64" s="210">
        <v>1707.4</v>
      </c>
      <c r="BU64" s="211"/>
      <c r="BV64" s="210">
        <v>0</v>
      </c>
      <c r="BW64" s="211"/>
      <c r="BX64" s="210">
        <v>0</v>
      </c>
      <c r="BY64" s="211"/>
      <c r="BZ64" s="210">
        <v>0</v>
      </c>
      <c r="CA64" s="211"/>
      <c r="CB64" s="210">
        <v>0</v>
      </c>
      <c r="CC64" s="211"/>
      <c r="CD64" s="210">
        <f t="shared" ref="CD64:CD69" si="38">ROUND(BH64+BL64+SUM(BR64:CB64),5)</f>
        <v>7031.96</v>
      </c>
      <c r="CE64" s="211"/>
      <c r="CF64" s="210">
        <v>0</v>
      </c>
      <c r="CG64" s="211"/>
      <c r="CH64" s="210">
        <f t="shared" ref="CH64:CH69" si="39">ROUND(SUM(H64:N64)+SUM(T64:V64)+AN64+AT64+SUM(CD64:CF64),5)</f>
        <v>8683.99</v>
      </c>
    </row>
    <row r="65" spans="1:86">
      <c r="A65" s="209"/>
      <c r="B65" s="209"/>
      <c r="C65" s="209"/>
      <c r="D65" s="209"/>
      <c r="E65" s="209"/>
      <c r="F65" s="209"/>
      <c r="G65" s="209" t="s">
        <v>387</v>
      </c>
      <c r="H65" s="210">
        <v>0</v>
      </c>
      <c r="I65" s="211"/>
      <c r="J65" s="210">
        <v>0</v>
      </c>
      <c r="K65" s="211"/>
      <c r="L65" s="210">
        <v>0</v>
      </c>
      <c r="M65" s="211"/>
      <c r="N65" s="210">
        <v>0</v>
      </c>
      <c r="O65" s="211"/>
      <c r="P65" s="210">
        <v>0</v>
      </c>
      <c r="Q65" s="211"/>
      <c r="R65" s="210">
        <v>0</v>
      </c>
      <c r="S65" s="211"/>
      <c r="T65" s="210">
        <f t="shared" si="32"/>
        <v>0</v>
      </c>
      <c r="U65" s="211"/>
      <c r="V65" s="210">
        <v>70201</v>
      </c>
      <c r="W65" s="211"/>
      <c r="X65" s="210">
        <v>0</v>
      </c>
      <c r="Y65" s="211"/>
      <c r="Z65" s="210">
        <v>0</v>
      </c>
      <c r="AA65" s="211"/>
      <c r="AB65" s="210">
        <v>0</v>
      </c>
      <c r="AC65" s="211"/>
      <c r="AD65" s="210">
        <v>0</v>
      </c>
      <c r="AE65" s="211"/>
      <c r="AF65" s="210">
        <v>0</v>
      </c>
      <c r="AG65" s="211"/>
      <c r="AH65" s="210">
        <v>0</v>
      </c>
      <c r="AI65" s="211"/>
      <c r="AJ65" s="210">
        <v>0</v>
      </c>
      <c r="AK65" s="211"/>
      <c r="AL65" s="210">
        <v>0</v>
      </c>
      <c r="AM65" s="211"/>
      <c r="AN65" s="210">
        <f t="shared" si="33"/>
        <v>0</v>
      </c>
      <c r="AO65" s="211"/>
      <c r="AP65" s="210">
        <v>0</v>
      </c>
      <c r="AQ65" s="211"/>
      <c r="AR65" s="210">
        <v>0</v>
      </c>
      <c r="AS65" s="211"/>
      <c r="AT65" s="210">
        <f t="shared" si="34"/>
        <v>0</v>
      </c>
      <c r="AU65" s="211"/>
      <c r="AV65" s="210">
        <v>0</v>
      </c>
      <c r="AW65" s="211"/>
      <c r="AX65" s="210">
        <v>0</v>
      </c>
      <c r="AY65" s="211"/>
      <c r="AZ65" s="210">
        <v>0</v>
      </c>
      <c r="BA65" s="211"/>
      <c r="BB65" s="210">
        <v>0</v>
      </c>
      <c r="BC65" s="211"/>
      <c r="BD65" s="210">
        <v>0</v>
      </c>
      <c r="BE65" s="211"/>
      <c r="BF65" s="210">
        <v>0</v>
      </c>
      <c r="BG65" s="211"/>
      <c r="BH65" s="210">
        <f t="shared" si="35"/>
        <v>0</v>
      </c>
      <c r="BI65" s="211"/>
      <c r="BJ65" s="210">
        <v>0</v>
      </c>
      <c r="BK65" s="211"/>
      <c r="BL65" s="210">
        <f t="shared" si="36"/>
        <v>0</v>
      </c>
      <c r="BM65" s="211"/>
      <c r="BN65" s="210">
        <v>0</v>
      </c>
      <c r="BO65" s="211"/>
      <c r="BP65" s="210">
        <v>0</v>
      </c>
      <c r="BQ65" s="211"/>
      <c r="BR65" s="210">
        <f t="shared" si="37"/>
        <v>0</v>
      </c>
      <c r="BS65" s="211"/>
      <c r="BT65" s="210">
        <v>0</v>
      </c>
      <c r="BU65" s="211"/>
      <c r="BV65" s="210">
        <v>0</v>
      </c>
      <c r="BW65" s="211"/>
      <c r="BX65" s="210">
        <v>0</v>
      </c>
      <c r="BY65" s="211"/>
      <c r="BZ65" s="210">
        <v>0</v>
      </c>
      <c r="CA65" s="211"/>
      <c r="CB65" s="210">
        <v>0</v>
      </c>
      <c r="CC65" s="211"/>
      <c r="CD65" s="210">
        <f t="shared" si="38"/>
        <v>0</v>
      </c>
      <c r="CE65" s="211"/>
      <c r="CF65" s="210">
        <v>0</v>
      </c>
      <c r="CG65" s="211"/>
      <c r="CH65" s="210">
        <f t="shared" si="39"/>
        <v>70201</v>
      </c>
    </row>
    <row r="66" spans="1:86">
      <c r="A66" s="209"/>
      <c r="B66" s="209"/>
      <c r="C66" s="209"/>
      <c r="D66" s="209"/>
      <c r="E66" s="209"/>
      <c r="F66" s="209"/>
      <c r="G66" s="209" t="s">
        <v>175</v>
      </c>
      <c r="H66" s="210">
        <v>0</v>
      </c>
      <c r="I66" s="211"/>
      <c r="J66" s="210">
        <v>0</v>
      </c>
      <c r="K66" s="211"/>
      <c r="L66" s="210">
        <v>0</v>
      </c>
      <c r="M66" s="211"/>
      <c r="N66" s="210">
        <v>0</v>
      </c>
      <c r="O66" s="211"/>
      <c r="P66" s="210">
        <v>0</v>
      </c>
      <c r="Q66" s="211"/>
      <c r="R66" s="210">
        <v>0</v>
      </c>
      <c r="S66" s="211"/>
      <c r="T66" s="210">
        <f t="shared" si="32"/>
        <v>0</v>
      </c>
      <c r="U66" s="211"/>
      <c r="V66" s="210">
        <v>0</v>
      </c>
      <c r="W66" s="211"/>
      <c r="X66" s="210">
        <v>0</v>
      </c>
      <c r="Y66" s="211"/>
      <c r="Z66" s="210">
        <v>0</v>
      </c>
      <c r="AA66" s="211"/>
      <c r="AB66" s="210">
        <v>159.05000000000001</v>
      </c>
      <c r="AC66" s="211"/>
      <c r="AD66" s="210">
        <v>267.11</v>
      </c>
      <c r="AE66" s="211"/>
      <c r="AF66" s="210">
        <v>917.97</v>
      </c>
      <c r="AG66" s="211"/>
      <c r="AH66" s="210">
        <v>0</v>
      </c>
      <c r="AI66" s="211"/>
      <c r="AJ66" s="210">
        <v>0</v>
      </c>
      <c r="AK66" s="211"/>
      <c r="AL66" s="210">
        <v>21.78</v>
      </c>
      <c r="AM66" s="211"/>
      <c r="AN66" s="210">
        <f t="shared" si="33"/>
        <v>1365.91</v>
      </c>
      <c r="AO66" s="211"/>
      <c r="AP66" s="210">
        <v>6641.19</v>
      </c>
      <c r="AQ66" s="211"/>
      <c r="AR66" s="210">
        <v>4500</v>
      </c>
      <c r="AS66" s="211"/>
      <c r="AT66" s="210">
        <f t="shared" si="34"/>
        <v>11141.19</v>
      </c>
      <c r="AU66" s="211"/>
      <c r="AV66" s="210">
        <v>0</v>
      </c>
      <c r="AW66" s="211"/>
      <c r="AX66" s="210">
        <v>3549.66</v>
      </c>
      <c r="AY66" s="211"/>
      <c r="AZ66" s="210">
        <v>1468.51</v>
      </c>
      <c r="BA66" s="211"/>
      <c r="BB66" s="210">
        <v>8086.35</v>
      </c>
      <c r="BC66" s="211"/>
      <c r="BD66" s="210">
        <v>0</v>
      </c>
      <c r="BE66" s="211"/>
      <c r="BF66" s="210">
        <v>0</v>
      </c>
      <c r="BG66" s="211"/>
      <c r="BH66" s="210">
        <f t="shared" si="35"/>
        <v>13104.52</v>
      </c>
      <c r="BI66" s="211"/>
      <c r="BJ66" s="210">
        <v>0</v>
      </c>
      <c r="BK66" s="211"/>
      <c r="BL66" s="210">
        <f t="shared" si="36"/>
        <v>0</v>
      </c>
      <c r="BM66" s="211"/>
      <c r="BN66" s="210">
        <v>10019.129999999999</v>
      </c>
      <c r="BO66" s="211"/>
      <c r="BP66" s="210">
        <v>455.21</v>
      </c>
      <c r="BQ66" s="211"/>
      <c r="BR66" s="210">
        <f t="shared" si="37"/>
        <v>10474.34</v>
      </c>
      <c r="BS66" s="211"/>
      <c r="BT66" s="210">
        <v>7584.31</v>
      </c>
      <c r="BU66" s="211"/>
      <c r="BV66" s="210">
        <v>91.31</v>
      </c>
      <c r="BW66" s="211"/>
      <c r="BX66" s="210">
        <v>0</v>
      </c>
      <c r="BY66" s="211"/>
      <c r="BZ66" s="210">
        <v>0</v>
      </c>
      <c r="CA66" s="211"/>
      <c r="CB66" s="210">
        <v>0</v>
      </c>
      <c r="CC66" s="211"/>
      <c r="CD66" s="210">
        <f t="shared" si="38"/>
        <v>31254.48</v>
      </c>
      <c r="CE66" s="211"/>
      <c r="CF66" s="210">
        <v>0</v>
      </c>
      <c r="CG66" s="211"/>
      <c r="CH66" s="210">
        <f t="shared" si="39"/>
        <v>43761.58</v>
      </c>
    </row>
    <row r="67" spans="1:86">
      <c r="A67" s="209"/>
      <c r="B67" s="209"/>
      <c r="C67" s="209"/>
      <c r="D67" s="209"/>
      <c r="E67" s="209"/>
      <c r="F67" s="209"/>
      <c r="G67" s="209" t="s">
        <v>179</v>
      </c>
      <c r="H67" s="210">
        <v>0</v>
      </c>
      <c r="I67" s="211"/>
      <c r="J67" s="210">
        <v>0</v>
      </c>
      <c r="K67" s="211"/>
      <c r="L67" s="210">
        <v>0</v>
      </c>
      <c r="M67" s="211"/>
      <c r="N67" s="210">
        <v>0</v>
      </c>
      <c r="O67" s="211"/>
      <c r="P67" s="210">
        <v>0</v>
      </c>
      <c r="Q67" s="211"/>
      <c r="R67" s="210">
        <v>0</v>
      </c>
      <c r="S67" s="211"/>
      <c r="T67" s="210">
        <f t="shared" si="32"/>
        <v>0</v>
      </c>
      <c r="U67" s="211"/>
      <c r="V67" s="210">
        <v>0</v>
      </c>
      <c r="W67" s="211"/>
      <c r="X67" s="210">
        <v>0</v>
      </c>
      <c r="Y67" s="211"/>
      <c r="Z67" s="210">
        <v>0</v>
      </c>
      <c r="AA67" s="211"/>
      <c r="AB67" s="210">
        <v>246.3</v>
      </c>
      <c r="AC67" s="211"/>
      <c r="AD67" s="210">
        <v>955.03</v>
      </c>
      <c r="AE67" s="211"/>
      <c r="AF67" s="210">
        <v>260.14</v>
      </c>
      <c r="AG67" s="211"/>
      <c r="AH67" s="210">
        <v>31.36</v>
      </c>
      <c r="AI67" s="211"/>
      <c r="AJ67" s="210">
        <v>0</v>
      </c>
      <c r="AK67" s="211"/>
      <c r="AL67" s="210">
        <v>0</v>
      </c>
      <c r="AM67" s="211"/>
      <c r="AN67" s="210">
        <f t="shared" si="33"/>
        <v>1492.83</v>
      </c>
      <c r="AO67" s="211"/>
      <c r="AP67" s="210">
        <v>235.94</v>
      </c>
      <c r="AQ67" s="211"/>
      <c r="AR67" s="210">
        <v>121.52</v>
      </c>
      <c r="AS67" s="211"/>
      <c r="AT67" s="210">
        <f t="shared" si="34"/>
        <v>357.46</v>
      </c>
      <c r="AU67" s="211"/>
      <c r="AV67" s="210">
        <v>44.11</v>
      </c>
      <c r="AW67" s="211"/>
      <c r="AX67" s="210">
        <v>2002.28</v>
      </c>
      <c r="AY67" s="211"/>
      <c r="AZ67" s="210">
        <v>2549.02</v>
      </c>
      <c r="BA67" s="211"/>
      <c r="BB67" s="210">
        <v>11194.01</v>
      </c>
      <c r="BC67" s="211"/>
      <c r="BD67" s="210">
        <v>122.83</v>
      </c>
      <c r="BE67" s="211"/>
      <c r="BF67" s="210">
        <v>0</v>
      </c>
      <c r="BG67" s="211"/>
      <c r="BH67" s="210">
        <f t="shared" si="35"/>
        <v>15912.25</v>
      </c>
      <c r="BI67" s="211"/>
      <c r="BJ67" s="210">
        <v>0</v>
      </c>
      <c r="BK67" s="211"/>
      <c r="BL67" s="210">
        <f t="shared" si="36"/>
        <v>0</v>
      </c>
      <c r="BM67" s="211"/>
      <c r="BN67" s="210">
        <v>415.74</v>
      </c>
      <c r="BO67" s="211"/>
      <c r="BP67" s="210">
        <v>44.11</v>
      </c>
      <c r="BQ67" s="211"/>
      <c r="BR67" s="210">
        <f t="shared" si="37"/>
        <v>459.85</v>
      </c>
      <c r="BS67" s="211"/>
      <c r="BT67" s="210">
        <v>1951.61</v>
      </c>
      <c r="BU67" s="211"/>
      <c r="BV67" s="210">
        <v>0</v>
      </c>
      <c r="BW67" s="211"/>
      <c r="BX67" s="210">
        <v>0</v>
      </c>
      <c r="BY67" s="211"/>
      <c r="BZ67" s="210">
        <v>0</v>
      </c>
      <c r="CA67" s="211"/>
      <c r="CB67" s="210">
        <v>0</v>
      </c>
      <c r="CC67" s="211"/>
      <c r="CD67" s="210">
        <f t="shared" si="38"/>
        <v>18323.71</v>
      </c>
      <c r="CE67" s="211"/>
      <c r="CF67" s="210">
        <v>0</v>
      </c>
      <c r="CG67" s="211"/>
      <c r="CH67" s="210">
        <f t="shared" si="39"/>
        <v>20174</v>
      </c>
    </row>
    <row r="68" spans="1:86" ht="15" thickBot="1">
      <c r="A68" s="209"/>
      <c r="B68" s="209"/>
      <c r="C68" s="209"/>
      <c r="D68" s="209"/>
      <c r="E68" s="209"/>
      <c r="F68" s="209"/>
      <c r="G68" s="209" t="s">
        <v>388</v>
      </c>
      <c r="H68" s="213">
        <v>0</v>
      </c>
      <c r="I68" s="211"/>
      <c r="J68" s="213">
        <v>0</v>
      </c>
      <c r="K68" s="211"/>
      <c r="L68" s="213">
        <v>0</v>
      </c>
      <c r="M68" s="211"/>
      <c r="N68" s="213">
        <v>0</v>
      </c>
      <c r="O68" s="211"/>
      <c r="P68" s="213">
        <v>0</v>
      </c>
      <c r="Q68" s="211"/>
      <c r="R68" s="213">
        <v>0</v>
      </c>
      <c r="S68" s="211"/>
      <c r="T68" s="213">
        <f t="shared" si="32"/>
        <v>0</v>
      </c>
      <c r="U68" s="211"/>
      <c r="V68" s="213">
        <v>0</v>
      </c>
      <c r="W68" s="211"/>
      <c r="X68" s="213">
        <v>0</v>
      </c>
      <c r="Y68" s="211"/>
      <c r="Z68" s="213">
        <v>0</v>
      </c>
      <c r="AA68" s="211"/>
      <c r="AB68" s="213">
        <v>0</v>
      </c>
      <c r="AC68" s="211"/>
      <c r="AD68" s="213">
        <v>15</v>
      </c>
      <c r="AE68" s="211"/>
      <c r="AF68" s="213">
        <v>0</v>
      </c>
      <c r="AG68" s="211"/>
      <c r="AH68" s="213">
        <v>0</v>
      </c>
      <c r="AI68" s="211"/>
      <c r="AJ68" s="213">
        <v>0</v>
      </c>
      <c r="AK68" s="211"/>
      <c r="AL68" s="213">
        <v>0</v>
      </c>
      <c r="AM68" s="211"/>
      <c r="AN68" s="213">
        <f t="shared" si="33"/>
        <v>15</v>
      </c>
      <c r="AO68" s="211"/>
      <c r="AP68" s="213">
        <v>0</v>
      </c>
      <c r="AQ68" s="211"/>
      <c r="AR68" s="213">
        <v>0</v>
      </c>
      <c r="AS68" s="211"/>
      <c r="AT68" s="213">
        <f t="shared" si="34"/>
        <v>0</v>
      </c>
      <c r="AU68" s="211"/>
      <c r="AV68" s="213">
        <v>0</v>
      </c>
      <c r="AW68" s="211"/>
      <c r="AX68" s="213">
        <v>0</v>
      </c>
      <c r="AY68" s="211"/>
      <c r="AZ68" s="213">
        <v>0</v>
      </c>
      <c r="BA68" s="211"/>
      <c r="BB68" s="213">
        <v>0</v>
      </c>
      <c r="BC68" s="211"/>
      <c r="BD68" s="213">
        <v>0</v>
      </c>
      <c r="BE68" s="211"/>
      <c r="BF68" s="213">
        <v>0</v>
      </c>
      <c r="BG68" s="211"/>
      <c r="BH68" s="213">
        <f t="shared" si="35"/>
        <v>0</v>
      </c>
      <c r="BI68" s="211"/>
      <c r="BJ68" s="213">
        <v>0</v>
      </c>
      <c r="BK68" s="211"/>
      <c r="BL68" s="213">
        <f t="shared" si="36"/>
        <v>0</v>
      </c>
      <c r="BM68" s="211"/>
      <c r="BN68" s="213">
        <v>0</v>
      </c>
      <c r="BO68" s="211"/>
      <c r="BP68" s="213">
        <v>0</v>
      </c>
      <c r="BQ68" s="211"/>
      <c r="BR68" s="213">
        <f t="shared" si="37"/>
        <v>0</v>
      </c>
      <c r="BS68" s="211"/>
      <c r="BT68" s="213">
        <v>0</v>
      </c>
      <c r="BU68" s="211"/>
      <c r="BV68" s="213">
        <v>0</v>
      </c>
      <c r="BW68" s="211"/>
      <c r="BX68" s="213">
        <v>0</v>
      </c>
      <c r="BY68" s="211"/>
      <c r="BZ68" s="213">
        <v>0</v>
      </c>
      <c r="CA68" s="211"/>
      <c r="CB68" s="213">
        <v>0</v>
      </c>
      <c r="CC68" s="211"/>
      <c r="CD68" s="213">
        <f t="shared" si="38"/>
        <v>0</v>
      </c>
      <c r="CE68" s="211"/>
      <c r="CF68" s="213">
        <v>0</v>
      </c>
      <c r="CG68" s="211"/>
      <c r="CH68" s="213">
        <f t="shared" si="39"/>
        <v>15</v>
      </c>
    </row>
    <row r="69" spans="1:86">
      <c r="A69" s="209"/>
      <c r="B69" s="209"/>
      <c r="C69" s="209"/>
      <c r="D69" s="209"/>
      <c r="E69" s="209"/>
      <c r="F69" s="209" t="s">
        <v>182</v>
      </c>
      <c r="G69" s="209"/>
      <c r="H69" s="210">
        <f>ROUND(SUM(H63:H68),5)</f>
        <v>0</v>
      </c>
      <c r="I69" s="211"/>
      <c r="J69" s="210">
        <f>ROUND(SUM(J63:J68),5)</f>
        <v>0</v>
      </c>
      <c r="K69" s="211"/>
      <c r="L69" s="210">
        <f>ROUND(SUM(L63:L68),5)</f>
        <v>0</v>
      </c>
      <c r="M69" s="211"/>
      <c r="N69" s="210">
        <f>ROUND(SUM(N63:N68),5)</f>
        <v>0</v>
      </c>
      <c r="O69" s="211"/>
      <c r="P69" s="210">
        <f>ROUND(SUM(P63:P68),5)</f>
        <v>0</v>
      </c>
      <c r="Q69" s="211"/>
      <c r="R69" s="210">
        <f>ROUND(SUM(R63:R68),5)</f>
        <v>0</v>
      </c>
      <c r="S69" s="211"/>
      <c r="T69" s="210">
        <f t="shared" si="32"/>
        <v>0</v>
      </c>
      <c r="U69" s="211"/>
      <c r="V69" s="210">
        <f>ROUND(SUM(V63:V68),5)</f>
        <v>70201</v>
      </c>
      <c r="W69" s="211"/>
      <c r="X69" s="210">
        <f>ROUND(SUM(X63:X68),5)</f>
        <v>0</v>
      </c>
      <c r="Y69" s="211"/>
      <c r="Z69" s="210">
        <f>ROUND(SUM(Z63:Z68),5)</f>
        <v>0</v>
      </c>
      <c r="AA69" s="211"/>
      <c r="AB69" s="210">
        <f>ROUND(SUM(AB63:AB68),5)</f>
        <v>447.96</v>
      </c>
      <c r="AC69" s="211"/>
      <c r="AD69" s="210">
        <f>ROUND(SUM(AD63:AD68),5)</f>
        <v>1298.73</v>
      </c>
      <c r="AE69" s="211"/>
      <c r="AF69" s="210">
        <f>ROUND(SUM(AF63:AF68),5)</f>
        <v>1813.56</v>
      </c>
      <c r="AG69" s="211"/>
      <c r="AH69" s="210">
        <f>ROUND(SUM(AH63:AH68),5)</f>
        <v>91.67</v>
      </c>
      <c r="AI69" s="211"/>
      <c r="AJ69" s="210">
        <f>ROUND(SUM(AJ63:AJ68),5)</f>
        <v>0</v>
      </c>
      <c r="AK69" s="211"/>
      <c r="AL69" s="210">
        <f>ROUND(SUM(AL63:AL68),5)</f>
        <v>21.78</v>
      </c>
      <c r="AM69" s="211"/>
      <c r="AN69" s="210">
        <f t="shared" si="33"/>
        <v>3673.7</v>
      </c>
      <c r="AO69" s="211"/>
      <c r="AP69" s="210">
        <f>ROUND(SUM(AP63:AP68),5)</f>
        <v>7729.2</v>
      </c>
      <c r="AQ69" s="211"/>
      <c r="AR69" s="210">
        <f>ROUND(SUM(AR63:AR68),5)</f>
        <v>4621.5200000000004</v>
      </c>
      <c r="AS69" s="211"/>
      <c r="AT69" s="210">
        <f t="shared" si="34"/>
        <v>12350.72</v>
      </c>
      <c r="AU69" s="211"/>
      <c r="AV69" s="210">
        <f>ROUND(SUM(AV63:AV68),5)</f>
        <v>186.57</v>
      </c>
      <c r="AW69" s="211"/>
      <c r="AX69" s="210">
        <f>ROUND(SUM(AX63:AX68),5)</f>
        <v>7883.36</v>
      </c>
      <c r="AY69" s="211"/>
      <c r="AZ69" s="210">
        <f>ROUND(SUM(AZ63:AZ68),5)</f>
        <v>4090.46</v>
      </c>
      <c r="BA69" s="211"/>
      <c r="BB69" s="210">
        <f>ROUND(SUM(BB63:BB68),5)</f>
        <v>21379.83</v>
      </c>
      <c r="BC69" s="211"/>
      <c r="BD69" s="210">
        <f>ROUND(SUM(BD63:BD68),5)</f>
        <v>472.78</v>
      </c>
      <c r="BE69" s="211"/>
      <c r="BF69" s="210">
        <f>ROUND(SUM(BF63:BF68),5)</f>
        <v>0</v>
      </c>
      <c r="BG69" s="211"/>
      <c r="BH69" s="210">
        <f t="shared" si="35"/>
        <v>34013</v>
      </c>
      <c r="BI69" s="211"/>
      <c r="BJ69" s="210">
        <f>ROUND(SUM(BJ63:BJ68),5)</f>
        <v>0</v>
      </c>
      <c r="BK69" s="211"/>
      <c r="BL69" s="210">
        <f t="shared" si="36"/>
        <v>0</v>
      </c>
      <c r="BM69" s="211"/>
      <c r="BN69" s="210">
        <f>ROUND(SUM(BN63:BN68),5)</f>
        <v>10701.39</v>
      </c>
      <c r="BO69" s="211"/>
      <c r="BP69" s="210">
        <f>ROUND(SUM(BP63:BP68),5)</f>
        <v>561.13</v>
      </c>
      <c r="BQ69" s="211"/>
      <c r="BR69" s="210">
        <f t="shared" si="37"/>
        <v>11262.52</v>
      </c>
      <c r="BS69" s="211"/>
      <c r="BT69" s="210">
        <f>ROUND(SUM(BT63:BT68),5)</f>
        <v>11243.32</v>
      </c>
      <c r="BU69" s="211"/>
      <c r="BV69" s="210">
        <f>ROUND(SUM(BV63:BV68),5)</f>
        <v>91.31</v>
      </c>
      <c r="BW69" s="211"/>
      <c r="BX69" s="210">
        <f>ROUND(SUM(BX63:BX68),5)</f>
        <v>0</v>
      </c>
      <c r="BY69" s="211"/>
      <c r="BZ69" s="210">
        <f>ROUND(SUM(BZ63:BZ68),5)</f>
        <v>0</v>
      </c>
      <c r="CA69" s="211"/>
      <c r="CB69" s="210">
        <f>ROUND(SUM(CB63:CB68),5)</f>
        <v>0</v>
      </c>
      <c r="CC69" s="211"/>
      <c r="CD69" s="210">
        <f t="shared" si="38"/>
        <v>56610.15</v>
      </c>
      <c r="CE69" s="211"/>
      <c r="CF69" s="210">
        <f>ROUND(SUM(CF63:CF68),5)</f>
        <v>0</v>
      </c>
      <c r="CG69" s="211"/>
      <c r="CH69" s="210">
        <f t="shared" si="39"/>
        <v>142835.57</v>
      </c>
    </row>
    <row r="70" spans="1:86">
      <c r="A70" s="209"/>
      <c r="B70" s="209"/>
      <c r="C70" s="209"/>
      <c r="D70" s="209"/>
      <c r="E70" s="209"/>
      <c r="F70" s="209" t="s">
        <v>129</v>
      </c>
      <c r="G70" s="209"/>
      <c r="H70" s="210"/>
      <c r="I70" s="211"/>
      <c r="J70" s="210"/>
      <c r="K70" s="211"/>
      <c r="L70" s="210"/>
      <c r="M70" s="211"/>
      <c r="N70" s="210"/>
      <c r="O70" s="211"/>
      <c r="P70" s="210"/>
      <c r="Q70" s="211"/>
      <c r="R70" s="210"/>
      <c r="S70" s="211"/>
      <c r="T70" s="210"/>
      <c r="U70" s="211"/>
      <c r="V70" s="210"/>
      <c r="W70" s="211"/>
      <c r="X70" s="210"/>
      <c r="Y70" s="211"/>
      <c r="Z70" s="210"/>
      <c r="AA70" s="211"/>
      <c r="AB70" s="210"/>
      <c r="AC70" s="211"/>
      <c r="AD70" s="210"/>
      <c r="AE70" s="211"/>
      <c r="AF70" s="210"/>
      <c r="AG70" s="211"/>
      <c r="AH70" s="210"/>
      <c r="AI70" s="211"/>
      <c r="AJ70" s="210"/>
      <c r="AK70" s="211"/>
      <c r="AL70" s="210"/>
      <c r="AM70" s="211"/>
      <c r="AN70" s="210"/>
      <c r="AO70" s="211"/>
      <c r="AP70" s="210"/>
      <c r="AQ70" s="211"/>
      <c r="AR70" s="210"/>
      <c r="AS70" s="211"/>
      <c r="AT70" s="210"/>
      <c r="AU70" s="211"/>
      <c r="AV70" s="210"/>
      <c r="AW70" s="211"/>
      <c r="AX70" s="210"/>
      <c r="AY70" s="211"/>
      <c r="AZ70" s="210"/>
      <c r="BA70" s="211"/>
      <c r="BB70" s="210"/>
      <c r="BC70" s="211"/>
      <c r="BD70" s="210"/>
      <c r="BE70" s="211"/>
      <c r="BF70" s="210"/>
      <c r="BG70" s="211"/>
      <c r="BH70" s="210"/>
      <c r="BI70" s="211"/>
      <c r="BJ70" s="210"/>
      <c r="BK70" s="211"/>
      <c r="BL70" s="210"/>
      <c r="BM70" s="211"/>
      <c r="BN70" s="210"/>
      <c r="BO70" s="211"/>
      <c r="BP70" s="210"/>
      <c r="BQ70" s="211"/>
      <c r="BR70" s="210"/>
      <c r="BS70" s="211"/>
      <c r="BT70" s="210"/>
      <c r="BU70" s="211"/>
      <c r="BV70" s="210"/>
      <c r="BW70" s="211"/>
      <c r="BX70" s="210"/>
      <c r="BY70" s="211"/>
      <c r="BZ70" s="210"/>
      <c r="CA70" s="211"/>
      <c r="CB70" s="210"/>
      <c r="CC70" s="211"/>
      <c r="CD70" s="210"/>
      <c r="CE70" s="211"/>
      <c r="CF70" s="210"/>
      <c r="CG70" s="211"/>
      <c r="CH70" s="210"/>
    </row>
    <row r="71" spans="1:86">
      <c r="A71" s="209"/>
      <c r="B71" s="209"/>
      <c r="C71" s="209"/>
      <c r="D71" s="209"/>
      <c r="E71" s="209"/>
      <c r="F71" s="209"/>
      <c r="G71" s="209" t="s">
        <v>186</v>
      </c>
      <c r="H71" s="210">
        <v>0</v>
      </c>
      <c r="I71" s="211"/>
      <c r="J71" s="210">
        <v>0</v>
      </c>
      <c r="K71" s="211"/>
      <c r="L71" s="210">
        <v>0</v>
      </c>
      <c r="M71" s="211"/>
      <c r="N71" s="210">
        <v>0</v>
      </c>
      <c r="O71" s="211"/>
      <c r="P71" s="210">
        <v>0</v>
      </c>
      <c r="Q71" s="211"/>
      <c r="R71" s="210">
        <v>0</v>
      </c>
      <c r="S71" s="211"/>
      <c r="T71" s="210">
        <f t="shared" ref="T71:T87" si="40">ROUND(SUM(P71:R71),5)</f>
        <v>0</v>
      </c>
      <c r="U71" s="211"/>
      <c r="V71" s="210">
        <v>0</v>
      </c>
      <c r="W71" s="211"/>
      <c r="X71" s="210">
        <v>0</v>
      </c>
      <c r="Y71" s="211"/>
      <c r="Z71" s="210">
        <v>0</v>
      </c>
      <c r="AA71" s="211"/>
      <c r="AB71" s="210">
        <v>0</v>
      </c>
      <c r="AC71" s="211"/>
      <c r="AD71" s="210">
        <v>17.559999999999999</v>
      </c>
      <c r="AE71" s="211"/>
      <c r="AF71" s="210">
        <v>21.04</v>
      </c>
      <c r="AG71" s="211"/>
      <c r="AH71" s="210">
        <v>1.65</v>
      </c>
      <c r="AI71" s="211"/>
      <c r="AJ71" s="210">
        <v>0</v>
      </c>
      <c r="AK71" s="211"/>
      <c r="AL71" s="210">
        <v>8.7799999999999994</v>
      </c>
      <c r="AM71" s="211"/>
      <c r="AN71" s="210">
        <f t="shared" ref="AN71:AN87" si="41">ROUND(SUM(X71:AL71),5)</f>
        <v>49.03</v>
      </c>
      <c r="AO71" s="211"/>
      <c r="AP71" s="210">
        <v>25.53</v>
      </c>
      <c r="AQ71" s="211"/>
      <c r="AR71" s="210">
        <v>0</v>
      </c>
      <c r="AS71" s="211"/>
      <c r="AT71" s="210">
        <f t="shared" ref="AT71:AT87" si="42">ROUND(SUM(AP71:AR71),5)</f>
        <v>25.53</v>
      </c>
      <c r="AU71" s="211"/>
      <c r="AV71" s="210">
        <v>4.8</v>
      </c>
      <c r="AW71" s="211"/>
      <c r="AX71" s="210">
        <v>0</v>
      </c>
      <c r="AY71" s="211"/>
      <c r="AZ71" s="210">
        <v>0</v>
      </c>
      <c r="BA71" s="211"/>
      <c r="BB71" s="210">
        <v>482.9</v>
      </c>
      <c r="BC71" s="211"/>
      <c r="BD71" s="210">
        <v>11.78</v>
      </c>
      <c r="BE71" s="211"/>
      <c r="BF71" s="210">
        <v>0</v>
      </c>
      <c r="BG71" s="211"/>
      <c r="BH71" s="210">
        <f t="shared" ref="BH71:BH87" si="43">ROUND(SUM(AV71:BF71),5)</f>
        <v>499.48</v>
      </c>
      <c r="BI71" s="211"/>
      <c r="BJ71" s="210">
        <v>0</v>
      </c>
      <c r="BK71" s="211"/>
      <c r="BL71" s="210">
        <f t="shared" ref="BL71:BL87" si="44">BJ71</f>
        <v>0</v>
      </c>
      <c r="BM71" s="211"/>
      <c r="BN71" s="210">
        <v>52.68</v>
      </c>
      <c r="BO71" s="211"/>
      <c r="BP71" s="210">
        <v>17.559999999999999</v>
      </c>
      <c r="BQ71" s="211"/>
      <c r="BR71" s="210">
        <f t="shared" ref="BR71:BR87" si="45">ROUND(SUM(BN71:BP71),5)</f>
        <v>70.239999999999995</v>
      </c>
      <c r="BS71" s="211"/>
      <c r="BT71" s="210">
        <v>747.74</v>
      </c>
      <c r="BU71" s="211"/>
      <c r="BV71" s="210">
        <v>0</v>
      </c>
      <c r="BW71" s="211"/>
      <c r="BX71" s="210">
        <v>0</v>
      </c>
      <c r="BY71" s="211"/>
      <c r="BZ71" s="210">
        <v>0</v>
      </c>
      <c r="CA71" s="211"/>
      <c r="CB71" s="210">
        <v>0</v>
      </c>
      <c r="CC71" s="211"/>
      <c r="CD71" s="210">
        <f t="shared" ref="CD71:CD87" si="46">ROUND(BH71+BL71+SUM(BR71:CB71),5)</f>
        <v>1317.46</v>
      </c>
      <c r="CE71" s="211"/>
      <c r="CF71" s="210">
        <v>-33.799999999999997</v>
      </c>
      <c r="CG71" s="211"/>
      <c r="CH71" s="210">
        <f t="shared" ref="CH71:CH87" si="47">ROUND(SUM(H71:N71)+SUM(T71:V71)+AN71+AT71+SUM(CD71:CF71),5)</f>
        <v>1358.22</v>
      </c>
    </row>
    <row r="72" spans="1:86">
      <c r="A72" s="209"/>
      <c r="B72" s="209"/>
      <c r="C72" s="209"/>
      <c r="D72" s="209"/>
      <c r="E72" s="209"/>
      <c r="F72" s="209"/>
      <c r="G72" s="209" t="s">
        <v>188</v>
      </c>
      <c r="H72" s="210">
        <v>0</v>
      </c>
      <c r="I72" s="211"/>
      <c r="J72" s="210">
        <v>0</v>
      </c>
      <c r="K72" s="211"/>
      <c r="L72" s="210">
        <v>0</v>
      </c>
      <c r="M72" s="211"/>
      <c r="N72" s="210">
        <v>0</v>
      </c>
      <c r="O72" s="211"/>
      <c r="P72" s="210">
        <v>0</v>
      </c>
      <c r="Q72" s="211"/>
      <c r="R72" s="210">
        <v>0</v>
      </c>
      <c r="S72" s="211"/>
      <c r="T72" s="210">
        <f t="shared" si="40"/>
        <v>0</v>
      </c>
      <c r="U72" s="211"/>
      <c r="V72" s="210">
        <v>0</v>
      </c>
      <c r="W72" s="211"/>
      <c r="X72" s="210">
        <v>0</v>
      </c>
      <c r="Y72" s="211"/>
      <c r="Z72" s="210">
        <v>0</v>
      </c>
      <c r="AA72" s="211"/>
      <c r="AB72" s="210">
        <v>614.91</v>
      </c>
      <c r="AC72" s="211"/>
      <c r="AD72" s="210">
        <v>833.56</v>
      </c>
      <c r="AE72" s="211"/>
      <c r="AF72" s="210">
        <v>379.25</v>
      </c>
      <c r="AG72" s="211"/>
      <c r="AH72" s="210">
        <v>0</v>
      </c>
      <c r="AI72" s="211"/>
      <c r="AJ72" s="210">
        <v>0</v>
      </c>
      <c r="AK72" s="211"/>
      <c r="AL72" s="210">
        <v>30656.06</v>
      </c>
      <c r="AM72" s="211"/>
      <c r="AN72" s="210">
        <f t="shared" si="41"/>
        <v>32483.78</v>
      </c>
      <c r="AO72" s="211"/>
      <c r="AP72" s="210">
        <v>7638.16</v>
      </c>
      <c r="AQ72" s="211"/>
      <c r="AR72" s="210">
        <v>36402.589999999997</v>
      </c>
      <c r="AS72" s="211"/>
      <c r="AT72" s="210">
        <f t="shared" si="42"/>
        <v>44040.75</v>
      </c>
      <c r="AU72" s="211"/>
      <c r="AV72" s="210">
        <v>0</v>
      </c>
      <c r="AW72" s="211"/>
      <c r="AX72" s="210">
        <v>6602.99</v>
      </c>
      <c r="AY72" s="211"/>
      <c r="AZ72" s="210">
        <v>2222.35</v>
      </c>
      <c r="BA72" s="211"/>
      <c r="BB72" s="210">
        <v>49179.92</v>
      </c>
      <c r="BC72" s="211"/>
      <c r="BD72" s="210">
        <v>0</v>
      </c>
      <c r="BE72" s="211"/>
      <c r="BF72" s="210">
        <v>0</v>
      </c>
      <c r="BG72" s="211"/>
      <c r="BH72" s="210">
        <f t="shared" si="43"/>
        <v>58005.26</v>
      </c>
      <c r="BI72" s="211"/>
      <c r="BJ72" s="210">
        <v>3155.89</v>
      </c>
      <c r="BK72" s="211"/>
      <c r="BL72" s="210">
        <f t="shared" si="44"/>
        <v>3155.89</v>
      </c>
      <c r="BM72" s="211"/>
      <c r="BN72" s="210">
        <v>12355.22</v>
      </c>
      <c r="BO72" s="211"/>
      <c r="BP72" s="210">
        <v>6015.59</v>
      </c>
      <c r="BQ72" s="211"/>
      <c r="BR72" s="210">
        <f t="shared" si="45"/>
        <v>18370.810000000001</v>
      </c>
      <c r="BS72" s="211"/>
      <c r="BT72" s="210">
        <v>635663.06999999995</v>
      </c>
      <c r="BU72" s="211"/>
      <c r="BV72" s="210">
        <v>1226.1300000000001</v>
      </c>
      <c r="BW72" s="211"/>
      <c r="BX72" s="210">
        <v>0</v>
      </c>
      <c r="BY72" s="211"/>
      <c r="BZ72" s="210">
        <v>0</v>
      </c>
      <c r="CA72" s="211"/>
      <c r="CB72" s="210">
        <v>0</v>
      </c>
      <c r="CC72" s="211"/>
      <c r="CD72" s="210">
        <f t="shared" si="46"/>
        <v>716421.16</v>
      </c>
      <c r="CE72" s="211"/>
      <c r="CF72" s="210">
        <v>0</v>
      </c>
      <c r="CG72" s="211"/>
      <c r="CH72" s="210">
        <f t="shared" si="47"/>
        <v>792945.69</v>
      </c>
    </row>
    <row r="73" spans="1:86">
      <c r="A73" s="209"/>
      <c r="B73" s="209"/>
      <c r="C73" s="209"/>
      <c r="D73" s="209"/>
      <c r="E73" s="209"/>
      <c r="F73" s="209"/>
      <c r="G73" s="209" t="s">
        <v>183</v>
      </c>
      <c r="H73" s="210">
        <v>0</v>
      </c>
      <c r="I73" s="211"/>
      <c r="J73" s="210">
        <v>0</v>
      </c>
      <c r="K73" s="211"/>
      <c r="L73" s="210">
        <v>0</v>
      </c>
      <c r="M73" s="211"/>
      <c r="N73" s="210">
        <v>0</v>
      </c>
      <c r="O73" s="211"/>
      <c r="P73" s="210">
        <v>0</v>
      </c>
      <c r="Q73" s="211"/>
      <c r="R73" s="210">
        <v>0</v>
      </c>
      <c r="S73" s="211"/>
      <c r="T73" s="210">
        <f t="shared" si="40"/>
        <v>0</v>
      </c>
      <c r="U73" s="211"/>
      <c r="V73" s="210">
        <v>0</v>
      </c>
      <c r="W73" s="211"/>
      <c r="X73" s="210">
        <v>0</v>
      </c>
      <c r="Y73" s="211"/>
      <c r="Z73" s="210">
        <v>0</v>
      </c>
      <c r="AA73" s="211"/>
      <c r="AB73" s="210">
        <v>0</v>
      </c>
      <c r="AC73" s="211"/>
      <c r="AD73" s="210">
        <v>17.47</v>
      </c>
      <c r="AE73" s="211"/>
      <c r="AF73" s="210">
        <v>0</v>
      </c>
      <c r="AG73" s="211"/>
      <c r="AH73" s="210">
        <v>0</v>
      </c>
      <c r="AI73" s="211"/>
      <c r="AJ73" s="210">
        <v>0</v>
      </c>
      <c r="AK73" s="211"/>
      <c r="AL73" s="210">
        <v>0</v>
      </c>
      <c r="AM73" s="211"/>
      <c r="AN73" s="210">
        <f t="shared" si="41"/>
        <v>17.47</v>
      </c>
      <c r="AO73" s="211"/>
      <c r="AP73" s="210">
        <v>0</v>
      </c>
      <c r="AQ73" s="211"/>
      <c r="AR73" s="210">
        <v>0</v>
      </c>
      <c r="AS73" s="211"/>
      <c r="AT73" s="210">
        <f t="shared" si="42"/>
        <v>0</v>
      </c>
      <c r="AU73" s="211"/>
      <c r="AV73" s="210">
        <v>0</v>
      </c>
      <c r="AW73" s="211"/>
      <c r="AX73" s="210">
        <v>0</v>
      </c>
      <c r="AY73" s="211"/>
      <c r="AZ73" s="210">
        <v>0</v>
      </c>
      <c r="BA73" s="211"/>
      <c r="BB73" s="210">
        <v>0</v>
      </c>
      <c r="BC73" s="211"/>
      <c r="BD73" s="210">
        <v>0</v>
      </c>
      <c r="BE73" s="211"/>
      <c r="BF73" s="210">
        <v>0</v>
      </c>
      <c r="BG73" s="211"/>
      <c r="BH73" s="210">
        <f t="shared" si="43"/>
        <v>0</v>
      </c>
      <c r="BI73" s="211"/>
      <c r="BJ73" s="210">
        <v>0</v>
      </c>
      <c r="BK73" s="211"/>
      <c r="BL73" s="210">
        <f t="shared" si="44"/>
        <v>0</v>
      </c>
      <c r="BM73" s="211"/>
      <c r="BN73" s="210">
        <v>170.52</v>
      </c>
      <c r="BO73" s="211"/>
      <c r="BP73" s="210">
        <v>0</v>
      </c>
      <c r="BQ73" s="211"/>
      <c r="BR73" s="210">
        <f t="shared" si="45"/>
        <v>170.52</v>
      </c>
      <c r="BS73" s="211"/>
      <c r="BT73" s="210">
        <v>0</v>
      </c>
      <c r="BU73" s="211"/>
      <c r="BV73" s="210">
        <v>0</v>
      </c>
      <c r="BW73" s="211"/>
      <c r="BX73" s="210">
        <v>0</v>
      </c>
      <c r="BY73" s="211"/>
      <c r="BZ73" s="210">
        <v>0</v>
      </c>
      <c r="CA73" s="211"/>
      <c r="CB73" s="210">
        <v>0</v>
      </c>
      <c r="CC73" s="211"/>
      <c r="CD73" s="210">
        <f t="shared" si="46"/>
        <v>170.52</v>
      </c>
      <c r="CE73" s="211"/>
      <c r="CF73" s="210">
        <v>0</v>
      </c>
      <c r="CG73" s="211"/>
      <c r="CH73" s="210">
        <f t="shared" si="47"/>
        <v>187.99</v>
      </c>
    </row>
    <row r="74" spans="1:86">
      <c r="A74" s="209"/>
      <c r="B74" s="209"/>
      <c r="C74" s="209"/>
      <c r="D74" s="209"/>
      <c r="E74" s="209"/>
      <c r="F74" s="209"/>
      <c r="G74" s="209" t="s">
        <v>191</v>
      </c>
      <c r="H74" s="210">
        <v>0</v>
      </c>
      <c r="I74" s="211"/>
      <c r="J74" s="210">
        <v>0</v>
      </c>
      <c r="K74" s="211"/>
      <c r="L74" s="210">
        <v>0</v>
      </c>
      <c r="M74" s="211"/>
      <c r="N74" s="210">
        <v>0</v>
      </c>
      <c r="O74" s="211"/>
      <c r="P74" s="210">
        <v>0</v>
      </c>
      <c r="Q74" s="211"/>
      <c r="R74" s="210">
        <v>0</v>
      </c>
      <c r="S74" s="211"/>
      <c r="T74" s="210">
        <f t="shared" si="40"/>
        <v>0</v>
      </c>
      <c r="U74" s="211"/>
      <c r="V74" s="210">
        <v>0</v>
      </c>
      <c r="W74" s="211"/>
      <c r="X74" s="210">
        <v>0</v>
      </c>
      <c r="Y74" s="211"/>
      <c r="Z74" s="210">
        <v>0</v>
      </c>
      <c r="AA74" s="211"/>
      <c r="AB74" s="210">
        <v>0</v>
      </c>
      <c r="AC74" s="211"/>
      <c r="AD74" s="210">
        <v>38.229999999999997</v>
      </c>
      <c r="AE74" s="211"/>
      <c r="AF74" s="210">
        <v>2605.33</v>
      </c>
      <c r="AG74" s="211"/>
      <c r="AH74" s="210">
        <v>222.27</v>
      </c>
      <c r="AI74" s="211"/>
      <c r="AJ74" s="210">
        <v>0</v>
      </c>
      <c r="AK74" s="211"/>
      <c r="AL74" s="210">
        <v>12.72</v>
      </c>
      <c r="AM74" s="211"/>
      <c r="AN74" s="210">
        <f t="shared" si="41"/>
        <v>2878.55</v>
      </c>
      <c r="AO74" s="211"/>
      <c r="AP74" s="210">
        <v>4926.9799999999996</v>
      </c>
      <c r="AQ74" s="211"/>
      <c r="AR74" s="210">
        <v>1764.36</v>
      </c>
      <c r="AS74" s="211"/>
      <c r="AT74" s="210">
        <f t="shared" si="42"/>
        <v>6691.34</v>
      </c>
      <c r="AU74" s="211"/>
      <c r="AV74" s="210">
        <v>1374</v>
      </c>
      <c r="AW74" s="211"/>
      <c r="AX74" s="210">
        <v>7012.45</v>
      </c>
      <c r="AY74" s="211"/>
      <c r="AZ74" s="210">
        <v>3060.84</v>
      </c>
      <c r="BA74" s="211"/>
      <c r="BB74" s="210">
        <v>14011.49</v>
      </c>
      <c r="BC74" s="211"/>
      <c r="BD74" s="210">
        <v>295.52999999999997</v>
      </c>
      <c r="BE74" s="211"/>
      <c r="BF74" s="210">
        <v>0</v>
      </c>
      <c r="BG74" s="211"/>
      <c r="BH74" s="210">
        <f t="shared" si="43"/>
        <v>25754.31</v>
      </c>
      <c r="BI74" s="211"/>
      <c r="BJ74" s="210">
        <v>0</v>
      </c>
      <c r="BK74" s="211"/>
      <c r="BL74" s="210">
        <f t="shared" si="44"/>
        <v>0</v>
      </c>
      <c r="BM74" s="211"/>
      <c r="BN74" s="210">
        <v>7270.76</v>
      </c>
      <c r="BO74" s="211"/>
      <c r="BP74" s="210">
        <v>997.96</v>
      </c>
      <c r="BQ74" s="211"/>
      <c r="BR74" s="210">
        <f t="shared" si="45"/>
        <v>8268.7199999999993</v>
      </c>
      <c r="BS74" s="211"/>
      <c r="BT74" s="210">
        <v>15577.54</v>
      </c>
      <c r="BU74" s="211"/>
      <c r="BV74" s="210">
        <v>0</v>
      </c>
      <c r="BW74" s="211"/>
      <c r="BX74" s="210">
        <v>0</v>
      </c>
      <c r="BY74" s="211"/>
      <c r="BZ74" s="210">
        <v>0</v>
      </c>
      <c r="CA74" s="211"/>
      <c r="CB74" s="210">
        <v>0</v>
      </c>
      <c r="CC74" s="211"/>
      <c r="CD74" s="210">
        <f t="shared" si="46"/>
        <v>49600.57</v>
      </c>
      <c r="CE74" s="211"/>
      <c r="CF74" s="210">
        <v>0</v>
      </c>
      <c r="CG74" s="211"/>
      <c r="CH74" s="210">
        <f t="shared" si="47"/>
        <v>59170.46</v>
      </c>
    </row>
    <row r="75" spans="1:86">
      <c r="A75" s="209"/>
      <c r="B75" s="209"/>
      <c r="C75" s="209"/>
      <c r="D75" s="209"/>
      <c r="E75" s="209"/>
      <c r="F75" s="209"/>
      <c r="G75" s="209" t="s">
        <v>194</v>
      </c>
      <c r="H75" s="210">
        <v>0</v>
      </c>
      <c r="I75" s="211"/>
      <c r="J75" s="210">
        <v>0</v>
      </c>
      <c r="K75" s="211"/>
      <c r="L75" s="210">
        <v>0</v>
      </c>
      <c r="M75" s="211"/>
      <c r="N75" s="210">
        <v>0</v>
      </c>
      <c r="O75" s="211"/>
      <c r="P75" s="210">
        <v>0</v>
      </c>
      <c r="Q75" s="211"/>
      <c r="R75" s="210">
        <v>0</v>
      </c>
      <c r="S75" s="211"/>
      <c r="T75" s="210">
        <f t="shared" si="40"/>
        <v>0</v>
      </c>
      <c r="U75" s="211"/>
      <c r="V75" s="210">
        <v>0</v>
      </c>
      <c r="W75" s="211"/>
      <c r="X75" s="210">
        <v>0</v>
      </c>
      <c r="Y75" s="211"/>
      <c r="Z75" s="210">
        <v>0</v>
      </c>
      <c r="AA75" s="211"/>
      <c r="AB75" s="210">
        <v>2.87</v>
      </c>
      <c r="AC75" s="211"/>
      <c r="AD75" s="210">
        <v>1495.72</v>
      </c>
      <c r="AE75" s="211"/>
      <c r="AF75" s="210">
        <v>639.51</v>
      </c>
      <c r="AG75" s="211"/>
      <c r="AH75" s="210">
        <v>253.63</v>
      </c>
      <c r="AI75" s="211"/>
      <c r="AJ75" s="210">
        <v>59.41</v>
      </c>
      <c r="AK75" s="211"/>
      <c r="AL75" s="210">
        <v>67.099999999999994</v>
      </c>
      <c r="AM75" s="211"/>
      <c r="AN75" s="210">
        <f t="shared" si="41"/>
        <v>2518.2399999999998</v>
      </c>
      <c r="AO75" s="211"/>
      <c r="AP75" s="210">
        <v>1533.81</v>
      </c>
      <c r="AQ75" s="211"/>
      <c r="AR75" s="210">
        <v>196.82</v>
      </c>
      <c r="AS75" s="211"/>
      <c r="AT75" s="210">
        <f t="shared" si="42"/>
        <v>1730.63</v>
      </c>
      <c r="AU75" s="211"/>
      <c r="AV75" s="210">
        <v>0</v>
      </c>
      <c r="AW75" s="211"/>
      <c r="AX75" s="210">
        <v>3186.64</v>
      </c>
      <c r="AY75" s="211"/>
      <c r="AZ75" s="210">
        <v>326.58999999999997</v>
      </c>
      <c r="BA75" s="211"/>
      <c r="BB75" s="210">
        <v>4389.33</v>
      </c>
      <c r="BC75" s="211"/>
      <c r="BD75" s="210">
        <v>162.31</v>
      </c>
      <c r="BE75" s="211"/>
      <c r="BF75" s="210">
        <v>0</v>
      </c>
      <c r="BG75" s="211"/>
      <c r="BH75" s="210">
        <f t="shared" si="43"/>
        <v>8064.87</v>
      </c>
      <c r="BI75" s="211"/>
      <c r="BJ75" s="210">
        <v>0</v>
      </c>
      <c r="BK75" s="211"/>
      <c r="BL75" s="210">
        <f t="shared" si="44"/>
        <v>0</v>
      </c>
      <c r="BM75" s="211"/>
      <c r="BN75" s="210">
        <v>6744.94</v>
      </c>
      <c r="BO75" s="211"/>
      <c r="BP75" s="210">
        <v>495.04</v>
      </c>
      <c r="BQ75" s="211"/>
      <c r="BR75" s="210">
        <f t="shared" si="45"/>
        <v>7239.98</v>
      </c>
      <c r="BS75" s="211"/>
      <c r="BT75" s="210">
        <v>8719.34</v>
      </c>
      <c r="BU75" s="211"/>
      <c r="BV75" s="210">
        <v>0</v>
      </c>
      <c r="BW75" s="211"/>
      <c r="BX75" s="210">
        <v>0</v>
      </c>
      <c r="BY75" s="211"/>
      <c r="BZ75" s="210">
        <v>0</v>
      </c>
      <c r="CA75" s="211"/>
      <c r="CB75" s="210">
        <v>0</v>
      </c>
      <c r="CC75" s="211"/>
      <c r="CD75" s="210">
        <f t="shared" si="46"/>
        <v>24024.19</v>
      </c>
      <c r="CE75" s="211"/>
      <c r="CF75" s="210">
        <v>0</v>
      </c>
      <c r="CG75" s="211"/>
      <c r="CH75" s="210">
        <f t="shared" si="47"/>
        <v>28273.06</v>
      </c>
    </row>
    <row r="76" spans="1:86">
      <c r="A76" s="209"/>
      <c r="B76" s="209"/>
      <c r="C76" s="209"/>
      <c r="D76" s="209"/>
      <c r="E76" s="209"/>
      <c r="F76" s="209"/>
      <c r="G76" s="209" t="s">
        <v>196</v>
      </c>
      <c r="H76" s="210">
        <v>0</v>
      </c>
      <c r="I76" s="211"/>
      <c r="J76" s="210">
        <v>0</v>
      </c>
      <c r="K76" s="211"/>
      <c r="L76" s="210">
        <v>0</v>
      </c>
      <c r="M76" s="211"/>
      <c r="N76" s="210">
        <v>0</v>
      </c>
      <c r="O76" s="211"/>
      <c r="P76" s="210">
        <v>0</v>
      </c>
      <c r="Q76" s="211"/>
      <c r="R76" s="210">
        <v>0</v>
      </c>
      <c r="S76" s="211"/>
      <c r="T76" s="210">
        <f t="shared" si="40"/>
        <v>0</v>
      </c>
      <c r="U76" s="211"/>
      <c r="V76" s="210">
        <v>0</v>
      </c>
      <c r="W76" s="211"/>
      <c r="X76" s="210">
        <v>0</v>
      </c>
      <c r="Y76" s="211"/>
      <c r="Z76" s="210">
        <v>0</v>
      </c>
      <c r="AA76" s="211"/>
      <c r="AB76" s="210">
        <v>0</v>
      </c>
      <c r="AC76" s="211"/>
      <c r="AD76" s="210">
        <v>0.34</v>
      </c>
      <c r="AE76" s="211"/>
      <c r="AF76" s="210">
        <v>3298.31</v>
      </c>
      <c r="AG76" s="211"/>
      <c r="AH76" s="210">
        <v>1247.2</v>
      </c>
      <c r="AI76" s="211"/>
      <c r="AJ76" s="210">
        <v>236.88</v>
      </c>
      <c r="AK76" s="211"/>
      <c r="AL76" s="210">
        <v>204.97</v>
      </c>
      <c r="AM76" s="211"/>
      <c r="AN76" s="210">
        <f t="shared" si="41"/>
        <v>4987.7</v>
      </c>
      <c r="AO76" s="211"/>
      <c r="AP76" s="210">
        <v>6496.93</v>
      </c>
      <c r="AQ76" s="211"/>
      <c r="AR76" s="210">
        <v>4905</v>
      </c>
      <c r="AS76" s="211"/>
      <c r="AT76" s="210">
        <f t="shared" si="42"/>
        <v>11401.93</v>
      </c>
      <c r="AU76" s="211"/>
      <c r="AV76" s="210">
        <v>1406.96</v>
      </c>
      <c r="AW76" s="211"/>
      <c r="AX76" s="210">
        <v>379.27</v>
      </c>
      <c r="AY76" s="211"/>
      <c r="AZ76" s="210">
        <v>170.64</v>
      </c>
      <c r="BA76" s="211"/>
      <c r="BB76" s="210">
        <v>9123.57</v>
      </c>
      <c r="BC76" s="211"/>
      <c r="BD76" s="210">
        <v>44.89</v>
      </c>
      <c r="BE76" s="211"/>
      <c r="BF76" s="210">
        <v>0</v>
      </c>
      <c r="BG76" s="211"/>
      <c r="BH76" s="210">
        <f t="shared" si="43"/>
        <v>11125.33</v>
      </c>
      <c r="BI76" s="211"/>
      <c r="BJ76" s="210">
        <v>25.72</v>
      </c>
      <c r="BK76" s="211"/>
      <c r="BL76" s="210">
        <f t="shared" si="44"/>
        <v>25.72</v>
      </c>
      <c r="BM76" s="211"/>
      <c r="BN76" s="210">
        <v>7855.28</v>
      </c>
      <c r="BO76" s="211"/>
      <c r="BP76" s="210">
        <v>1247.77</v>
      </c>
      <c r="BQ76" s="211"/>
      <c r="BR76" s="210">
        <f t="shared" si="45"/>
        <v>9103.0499999999993</v>
      </c>
      <c r="BS76" s="211"/>
      <c r="BT76" s="210">
        <v>3301.06</v>
      </c>
      <c r="BU76" s="211"/>
      <c r="BV76" s="210">
        <v>790.24</v>
      </c>
      <c r="BW76" s="211"/>
      <c r="BX76" s="210">
        <v>0</v>
      </c>
      <c r="BY76" s="211"/>
      <c r="BZ76" s="210">
        <v>0</v>
      </c>
      <c r="CA76" s="211"/>
      <c r="CB76" s="210">
        <v>0</v>
      </c>
      <c r="CC76" s="211"/>
      <c r="CD76" s="210">
        <f t="shared" si="46"/>
        <v>24345.4</v>
      </c>
      <c r="CE76" s="211"/>
      <c r="CF76" s="210">
        <v>0</v>
      </c>
      <c r="CG76" s="211"/>
      <c r="CH76" s="210">
        <f t="shared" si="47"/>
        <v>40735.03</v>
      </c>
    </row>
    <row r="77" spans="1:86">
      <c r="A77" s="209"/>
      <c r="B77" s="209"/>
      <c r="C77" s="209"/>
      <c r="D77" s="209"/>
      <c r="E77" s="209"/>
      <c r="F77" s="209"/>
      <c r="G77" s="209" t="s">
        <v>331</v>
      </c>
      <c r="H77" s="210">
        <v>0</v>
      </c>
      <c r="I77" s="211"/>
      <c r="J77" s="210">
        <v>0</v>
      </c>
      <c r="K77" s="211"/>
      <c r="L77" s="210">
        <v>0</v>
      </c>
      <c r="M77" s="211"/>
      <c r="N77" s="210">
        <v>0</v>
      </c>
      <c r="O77" s="211"/>
      <c r="P77" s="210">
        <v>0</v>
      </c>
      <c r="Q77" s="211"/>
      <c r="R77" s="210">
        <v>0</v>
      </c>
      <c r="S77" s="211"/>
      <c r="T77" s="210">
        <f t="shared" si="40"/>
        <v>0</v>
      </c>
      <c r="U77" s="211"/>
      <c r="V77" s="210">
        <v>0</v>
      </c>
      <c r="W77" s="211"/>
      <c r="X77" s="210">
        <v>0</v>
      </c>
      <c r="Y77" s="211"/>
      <c r="Z77" s="210">
        <v>0</v>
      </c>
      <c r="AA77" s="211"/>
      <c r="AB77" s="210">
        <v>4720.91</v>
      </c>
      <c r="AC77" s="211"/>
      <c r="AD77" s="210">
        <v>3607.49</v>
      </c>
      <c r="AE77" s="211"/>
      <c r="AF77" s="210">
        <v>21567.919999999998</v>
      </c>
      <c r="AG77" s="211"/>
      <c r="AH77" s="210">
        <v>4347.8599999999997</v>
      </c>
      <c r="AI77" s="211"/>
      <c r="AJ77" s="210">
        <v>1764.5</v>
      </c>
      <c r="AK77" s="211"/>
      <c r="AL77" s="210">
        <v>633.95000000000005</v>
      </c>
      <c r="AM77" s="211"/>
      <c r="AN77" s="210">
        <f t="shared" si="41"/>
        <v>36642.629999999997</v>
      </c>
      <c r="AO77" s="211"/>
      <c r="AP77" s="210">
        <v>33857.17</v>
      </c>
      <c r="AQ77" s="211"/>
      <c r="AR77" s="210">
        <v>18300</v>
      </c>
      <c r="AS77" s="211"/>
      <c r="AT77" s="210">
        <f t="shared" si="42"/>
        <v>52157.17</v>
      </c>
      <c r="AU77" s="211"/>
      <c r="AV77" s="210">
        <v>579.22</v>
      </c>
      <c r="AW77" s="211"/>
      <c r="AX77" s="210">
        <v>10746.27</v>
      </c>
      <c r="AY77" s="211"/>
      <c r="AZ77" s="210">
        <v>8089.74</v>
      </c>
      <c r="BA77" s="211"/>
      <c r="BB77" s="210">
        <v>81897.69</v>
      </c>
      <c r="BC77" s="211"/>
      <c r="BD77" s="210">
        <v>1139.55</v>
      </c>
      <c r="BE77" s="211"/>
      <c r="BF77" s="210">
        <v>0</v>
      </c>
      <c r="BG77" s="211"/>
      <c r="BH77" s="210">
        <f t="shared" si="43"/>
        <v>102452.47</v>
      </c>
      <c r="BI77" s="211"/>
      <c r="BJ77" s="210">
        <v>948.24</v>
      </c>
      <c r="BK77" s="211"/>
      <c r="BL77" s="210">
        <f t="shared" si="44"/>
        <v>948.24</v>
      </c>
      <c r="BM77" s="211"/>
      <c r="BN77" s="210">
        <v>46368.06</v>
      </c>
      <c r="BO77" s="211"/>
      <c r="BP77" s="210">
        <v>18959.3</v>
      </c>
      <c r="BQ77" s="211"/>
      <c r="BR77" s="210">
        <f t="shared" si="45"/>
        <v>65327.360000000001</v>
      </c>
      <c r="BS77" s="211"/>
      <c r="BT77" s="210">
        <v>9639.44</v>
      </c>
      <c r="BU77" s="211"/>
      <c r="BV77" s="210">
        <v>4151.58</v>
      </c>
      <c r="BW77" s="211"/>
      <c r="BX77" s="210">
        <v>0</v>
      </c>
      <c r="BY77" s="211"/>
      <c r="BZ77" s="210">
        <v>0</v>
      </c>
      <c r="CA77" s="211"/>
      <c r="CB77" s="210">
        <v>0</v>
      </c>
      <c r="CC77" s="211"/>
      <c r="CD77" s="210">
        <f t="shared" si="46"/>
        <v>182519.09</v>
      </c>
      <c r="CE77" s="211"/>
      <c r="CF77" s="210">
        <v>0</v>
      </c>
      <c r="CG77" s="211"/>
      <c r="CH77" s="210">
        <f t="shared" si="47"/>
        <v>271318.89</v>
      </c>
    </row>
    <row r="78" spans="1:86">
      <c r="A78" s="209"/>
      <c r="B78" s="209"/>
      <c r="C78" s="209"/>
      <c r="D78" s="209"/>
      <c r="E78" s="209"/>
      <c r="F78" s="209"/>
      <c r="G78" s="209" t="s">
        <v>118</v>
      </c>
      <c r="H78" s="210">
        <v>0</v>
      </c>
      <c r="I78" s="211"/>
      <c r="J78" s="210">
        <v>0</v>
      </c>
      <c r="K78" s="211"/>
      <c r="L78" s="210">
        <v>0</v>
      </c>
      <c r="M78" s="211"/>
      <c r="N78" s="210">
        <v>0</v>
      </c>
      <c r="O78" s="211"/>
      <c r="P78" s="210">
        <v>0</v>
      </c>
      <c r="Q78" s="211"/>
      <c r="R78" s="210">
        <v>0</v>
      </c>
      <c r="S78" s="211"/>
      <c r="T78" s="210">
        <f t="shared" si="40"/>
        <v>0</v>
      </c>
      <c r="U78" s="211"/>
      <c r="V78" s="210">
        <v>0</v>
      </c>
      <c r="W78" s="211"/>
      <c r="X78" s="210">
        <v>0</v>
      </c>
      <c r="Y78" s="211"/>
      <c r="Z78" s="210">
        <v>0</v>
      </c>
      <c r="AA78" s="211"/>
      <c r="AB78" s="210">
        <v>878.46</v>
      </c>
      <c r="AC78" s="211"/>
      <c r="AD78" s="210">
        <v>493.89</v>
      </c>
      <c r="AE78" s="211"/>
      <c r="AF78" s="210">
        <v>531.52</v>
      </c>
      <c r="AG78" s="211"/>
      <c r="AH78" s="210">
        <v>49.09</v>
      </c>
      <c r="AI78" s="211"/>
      <c r="AJ78" s="210">
        <v>67.38</v>
      </c>
      <c r="AK78" s="211"/>
      <c r="AL78" s="210">
        <v>865.72</v>
      </c>
      <c r="AM78" s="211"/>
      <c r="AN78" s="210">
        <f t="shared" si="41"/>
        <v>2886.06</v>
      </c>
      <c r="AO78" s="211"/>
      <c r="AP78" s="210">
        <v>0</v>
      </c>
      <c r="AQ78" s="211"/>
      <c r="AR78" s="210">
        <v>0</v>
      </c>
      <c r="AS78" s="211"/>
      <c r="AT78" s="210">
        <f t="shared" si="42"/>
        <v>0</v>
      </c>
      <c r="AU78" s="211"/>
      <c r="AV78" s="210">
        <v>38.33</v>
      </c>
      <c r="AW78" s="211"/>
      <c r="AX78" s="210">
        <v>3610.75</v>
      </c>
      <c r="AY78" s="211"/>
      <c r="AZ78" s="210">
        <v>2671.62</v>
      </c>
      <c r="BA78" s="211"/>
      <c r="BB78" s="210">
        <v>14053.74</v>
      </c>
      <c r="BC78" s="211"/>
      <c r="BD78" s="210">
        <v>232.3</v>
      </c>
      <c r="BE78" s="211"/>
      <c r="BF78" s="210">
        <v>0</v>
      </c>
      <c r="BG78" s="211"/>
      <c r="BH78" s="210">
        <f t="shared" si="43"/>
        <v>20606.740000000002</v>
      </c>
      <c r="BI78" s="211"/>
      <c r="BJ78" s="210">
        <v>0</v>
      </c>
      <c r="BK78" s="211"/>
      <c r="BL78" s="210">
        <f t="shared" si="44"/>
        <v>0</v>
      </c>
      <c r="BM78" s="211"/>
      <c r="BN78" s="210">
        <v>854.8</v>
      </c>
      <c r="BO78" s="211"/>
      <c r="BP78" s="210">
        <v>1311.5</v>
      </c>
      <c r="BQ78" s="211"/>
      <c r="BR78" s="210">
        <f t="shared" si="45"/>
        <v>2166.3000000000002</v>
      </c>
      <c r="BS78" s="211"/>
      <c r="BT78" s="210">
        <v>400.33</v>
      </c>
      <c r="BU78" s="211"/>
      <c r="BV78" s="210">
        <v>0</v>
      </c>
      <c r="BW78" s="211"/>
      <c r="BX78" s="210">
        <v>0</v>
      </c>
      <c r="BY78" s="211"/>
      <c r="BZ78" s="210">
        <v>0</v>
      </c>
      <c r="CA78" s="211"/>
      <c r="CB78" s="210">
        <v>0</v>
      </c>
      <c r="CC78" s="211"/>
      <c r="CD78" s="210">
        <f t="shared" si="46"/>
        <v>23173.37</v>
      </c>
      <c r="CE78" s="211"/>
      <c r="CF78" s="210">
        <v>0</v>
      </c>
      <c r="CG78" s="211"/>
      <c r="CH78" s="210">
        <f t="shared" si="47"/>
        <v>26059.43</v>
      </c>
    </row>
    <row r="79" spans="1:86">
      <c r="A79" s="209"/>
      <c r="B79" s="209"/>
      <c r="C79" s="209"/>
      <c r="D79" s="209"/>
      <c r="E79" s="209"/>
      <c r="F79" s="209"/>
      <c r="G79" s="209" t="s">
        <v>201</v>
      </c>
      <c r="H79" s="210">
        <v>0</v>
      </c>
      <c r="I79" s="211"/>
      <c r="J79" s="210">
        <v>0</v>
      </c>
      <c r="K79" s="211"/>
      <c r="L79" s="210">
        <v>0</v>
      </c>
      <c r="M79" s="211"/>
      <c r="N79" s="210">
        <v>0</v>
      </c>
      <c r="O79" s="211"/>
      <c r="P79" s="210">
        <v>0</v>
      </c>
      <c r="Q79" s="211"/>
      <c r="R79" s="210">
        <v>0</v>
      </c>
      <c r="S79" s="211"/>
      <c r="T79" s="210">
        <f t="shared" si="40"/>
        <v>0</v>
      </c>
      <c r="U79" s="211"/>
      <c r="V79" s="210">
        <v>0</v>
      </c>
      <c r="W79" s="211"/>
      <c r="X79" s="210">
        <v>0</v>
      </c>
      <c r="Y79" s="211"/>
      <c r="Z79" s="210">
        <v>0</v>
      </c>
      <c r="AA79" s="211"/>
      <c r="AB79" s="210">
        <v>1986.98</v>
      </c>
      <c r="AC79" s="211"/>
      <c r="AD79" s="210">
        <v>3641.51</v>
      </c>
      <c r="AE79" s="211"/>
      <c r="AF79" s="210">
        <v>1376.72</v>
      </c>
      <c r="AG79" s="211"/>
      <c r="AH79" s="210">
        <v>319.16000000000003</v>
      </c>
      <c r="AI79" s="211"/>
      <c r="AJ79" s="210">
        <v>0</v>
      </c>
      <c r="AK79" s="211"/>
      <c r="AL79" s="210">
        <v>4960.42</v>
      </c>
      <c r="AM79" s="211"/>
      <c r="AN79" s="210">
        <f t="shared" si="41"/>
        <v>12284.79</v>
      </c>
      <c r="AO79" s="211"/>
      <c r="AP79" s="210">
        <v>5218.54</v>
      </c>
      <c r="AQ79" s="211"/>
      <c r="AR79" s="210">
        <v>2055.7399999999998</v>
      </c>
      <c r="AS79" s="211"/>
      <c r="AT79" s="210">
        <f t="shared" si="42"/>
        <v>7274.28</v>
      </c>
      <c r="AU79" s="211"/>
      <c r="AV79" s="210">
        <v>0</v>
      </c>
      <c r="AW79" s="211"/>
      <c r="AX79" s="210">
        <v>4304.4799999999996</v>
      </c>
      <c r="AY79" s="211"/>
      <c r="AZ79" s="210">
        <v>3295.01</v>
      </c>
      <c r="BA79" s="211"/>
      <c r="BB79" s="210">
        <v>50098.01</v>
      </c>
      <c r="BC79" s="211"/>
      <c r="BD79" s="210">
        <v>0</v>
      </c>
      <c r="BE79" s="211"/>
      <c r="BF79" s="210">
        <v>0</v>
      </c>
      <c r="BG79" s="211"/>
      <c r="BH79" s="210">
        <f t="shared" si="43"/>
        <v>57697.5</v>
      </c>
      <c r="BI79" s="211"/>
      <c r="BJ79" s="210">
        <v>824.56</v>
      </c>
      <c r="BK79" s="211"/>
      <c r="BL79" s="210">
        <f t="shared" si="44"/>
        <v>824.56</v>
      </c>
      <c r="BM79" s="211"/>
      <c r="BN79" s="210">
        <v>15699.18</v>
      </c>
      <c r="BO79" s="211"/>
      <c r="BP79" s="210">
        <v>2624.07</v>
      </c>
      <c r="BQ79" s="211"/>
      <c r="BR79" s="210">
        <f t="shared" si="45"/>
        <v>18323.25</v>
      </c>
      <c r="BS79" s="211"/>
      <c r="BT79" s="210">
        <v>80117.919999999998</v>
      </c>
      <c r="BU79" s="211"/>
      <c r="BV79" s="210">
        <v>1552.24</v>
      </c>
      <c r="BW79" s="211"/>
      <c r="BX79" s="210">
        <v>0</v>
      </c>
      <c r="BY79" s="211"/>
      <c r="BZ79" s="210">
        <v>-1235.02</v>
      </c>
      <c r="CA79" s="211"/>
      <c r="CB79" s="210">
        <v>0</v>
      </c>
      <c r="CC79" s="211"/>
      <c r="CD79" s="210">
        <f t="shared" si="46"/>
        <v>157280.45000000001</v>
      </c>
      <c r="CE79" s="211"/>
      <c r="CF79" s="210">
        <v>0</v>
      </c>
      <c r="CG79" s="211"/>
      <c r="CH79" s="210">
        <f t="shared" si="47"/>
        <v>176839.52</v>
      </c>
    </row>
    <row r="80" spans="1:86">
      <c r="A80" s="209"/>
      <c r="B80" s="209"/>
      <c r="C80" s="209"/>
      <c r="D80" s="209"/>
      <c r="E80" s="209"/>
      <c r="F80" s="209"/>
      <c r="G80" s="209" t="s">
        <v>205</v>
      </c>
      <c r="H80" s="210">
        <v>0</v>
      </c>
      <c r="I80" s="211"/>
      <c r="J80" s="210">
        <v>0</v>
      </c>
      <c r="K80" s="211"/>
      <c r="L80" s="210">
        <v>0</v>
      </c>
      <c r="M80" s="211"/>
      <c r="N80" s="210">
        <v>0</v>
      </c>
      <c r="O80" s="211"/>
      <c r="P80" s="210">
        <v>0</v>
      </c>
      <c r="Q80" s="211"/>
      <c r="R80" s="210">
        <v>0</v>
      </c>
      <c r="S80" s="211"/>
      <c r="T80" s="210">
        <f t="shared" si="40"/>
        <v>0</v>
      </c>
      <c r="U80" s="211"/>
      <c r="V80" s="210">
        <v>0</v>
      </c>
      <c r="W80" s="211"/>
      <c r="X80" s="210">
        <v>0</v>
      </c>
      <c r="Y80" s="211"/>
      <c r="Z80" s="210">
        <v>0</v>
      </c>
      <c r="AA80" s="211"/>
      <c r="AB80" s="210">
        <v>708.73</v>
      </c>
      <c r="AC80" s="211"/>
      <c r="AD80" s="210">
        <v>710.47</v>
      </c>
      <c r="AE80" s="211"/>
      <c r="AF80" s="210">
        <v>500.89</v>
      </c>
      <c r="AG80" s="211"/>
      <c r="AH80" s="210">
        <v>12.38</v>
      </c>
      <c r="AI80" s="211"/>
      <c r="AJ80" s="210">
        <v>0</v>
      </c>
      <c r="AK80" s="211"/>
      <c r="AL80" s="210">
        <v>226.29</v>
      </c>
      <c r="AM80" s="211"/>
      <c r="AN80" s="210">
        <f t="shared" si="41"/>
        <v>2158.7600000000002</v>
      </c>
      <c r="AO80" s="211"/>
      <c r="AP80" s="210">
        <v>9781.49</v>
      </c>
      <c r="AQ80" s="211"/>
      <c r="AR80" s="210">
        <v>0</v>
      </c>
      <c r="AS80" s="211"/>
      <c r="AT80" s="210">
        <f t="shared" si="42"/>
        <v>9781.49</v>
      </c>
      <c r="AU80" s="211"/>
      <c r="AV80" s="210">
        <v>0</v>
      </c>
      <c r="AW80" s="211"/>
      <c r="AX80" s="210">
        <v>2827.8</v>
      </c>
      <c r="AY80" s="211"/>
      <c r="AZ80" s="210">
        <v>1681.93</v>
      </c>
      <c r="BA80" s="211"/>
      <c r="BB80" s="210">
        <v>34956.51</v>
      </c>
      <c r="BC80" s="211"/>
      <c r="BD80" s="210">
        <v>1.1000000000000001</v>
      </c>
      <c r="BE80" s="211"/>
      <c r="BF80" s="210">
        <v>0</v>
      </c>
      <c r="BG80" s="211"/>
      <c r="BH80" s="210">
        <f t="shared" si="43"/>
        <v>39467.339999999997</v>
      </c>
      <c r="BI80" s="211"/>
      <c r="BJ80" s="210">
        <v>0</v>
      </c>
      <c r="BK80" s="211"/>
      <c r="BL80" s="210">
        <f t="shared" si="44"/>
        <v>0</v>
      </c>
      <c r="BM80" s="211"/>
      <c r="BN80" s="210">
        <v>51020.3</v>
      </c>
      <c r="BO80" s="211"/>
      <c r="BP80" s="210">
        <v>5564.3</v>
      </c>
      <c r="BQ80" s="211"/>
      <c r="BR80" s="210">
        <f t="shared" si="45"/>
        <v>56584.6</v>
      </c>
      <c r="BS80" s="211"/>
      <c r="BT80" s="210">
        <v>682.74</v>
      </c>
      <c r="BU80" s="211"/>
      <c r="BV80" s="210">
        <v>1588.57</v>
      </c>
      <c r="BW80" s="211"/>
      <c r="BX80" s="210">
        <v>0</v>
      </c>
      <c r="BY80" s="211"/>
      <c r="BZ80" s="210">
        <v>0</v>
      </c>
      <c r="CA80" s="211"/>
      <c r="CB80" s="210">
        <v>0</v>
      </c>
      <c r="CC80" s="211"/>
      <c r="CD80" s="210">
        <f t="shared" si="46"/>
        <v>98323.25</v>
      </c>
      <c r="CE80" s="211"/>
      <c r="CF80" s="210">
        <v>0</v>
      </c>
      <c r="CG80" s="211"/>
      <c r="CH80" s="210">
        <f t="shared" si="47"/>
        <v>110263.5</v>
      </c>
    </row>
    <row r="81" spans="1:86">
      <c r="A81" s="209"/>
      <c r="B81" s="209"/>
      <c r="C81" s="209"/>
      <c r="D81" s="209"/>
      <c r="E81" s="209"/>
      <c r="F81" s="209"/>
      <c r="G81" s="209" t="s">
        <v>206</v>
      </c>
      <c r="H81" s="210">
        <v>0</v>
      </c>
      <c r="I81" s="211"/>
      <c r="J81" s="210">
        <v>0</v>
      </c>
      <c r="K81" s="211"/>
      <c r="L81" s="210">
        <v>0</v>
      </c>
      <c r="M81" s="211"/>
      <c r="N81" s="210">
        <v>0</v>
      </c>
      <c r="O81" s="211"/>
      <c r="P81" s="210">
        <v>0</v>
      </c>
      <c r="Q81" s="211"/>
      <c r="R81" s="210">
        <v>0</v>
      </c>
      <c r="S81" s="211"/>
      <c r="T81" s="210">
        <f t="shared" si="40"/>
        <v>0</v>
      </c>
      <c r="U81" s="211"/>
      <c r="V81" s="210">
        <v>0</v>
      </c>
      <c r="W81" s="211"/>
      <c r="X81" s="210">
        <v>0</v>
      </c>
      <c r="Y81" s="211"/>
      <c r="Z81" s="210">
        <v>0</v>
      </c>
      <c r="AA81" s="211"/>
      <c r="AB81" s="210">
        <v>0</v>
      </c>
      <c r="AC81" s="211"/>
      <c r="AD81" s="210">
        <v>50.49</v>
      </c>
      <c r="AE81" s="211"/>
      <c r="AF81" s="210">
        <v>31.55</v>
      </c>
      <c r="AG81" s="211"/>
      <c r="AH81" s="210">
        <v>0</v>
      </c>
      <c r="AI81" s="211"/>
      <c r="AJ81" s="210">
        <v>0</v>
      </c>
      <c r="AK81" s="211"/>
      <c r="AL81" s="210">
        <v>49.13</v>
      </c>
      <c r="AM81" s="211"/>
      <c r="AN81" s="210">
        <f t="shared" si="41"/>
        <v>131.16999999999999</v>
      </c>
      <c r="AO81" s="211"/>
      <c r="AP81" s="210">
        <v>17.760000000000002</v>
      </c>
      <c r="AQ81" s="211"/>
      <c r="AR81" s="210">
        <v>0</v>
      </c>
      <c r="AS81" s="211"/>
      <c r="AT81" s="210">
        <f t="shared" si="42"/>
        <v>17.760000000000002</v>
      </c>
      <c r="AU81" s="211"/>
      <c r="AV81" s="210">
        <v>0</v>
      </c>
      <c r="AW81" s="211"/>
      <c r="AX81" s="210">
        <v>23.87</v>
      </c>
      <c r="AY81" s="211"/>
      <c r="AZ81" s="210">
        <v>10.23</v>
      </c>
      <c r="BA81" s="211"/>
      <c r="BB81" s="210">
        <v>0</v>
      </c>
      <c r="BC81" s="211"/>
      <c r="BD81" s="210">
        <v>0</v>
      </c>
      <c r="BE81" s="211"/>
      <c r="BF81" s="210">
        <v>0</v>
      </c>
      <c r="BG81" s="211"/>
      <c r="BH81" s="210">
        <f t="shared" si="43"/>
        <v>34.1</v>
      </c>
      <c r="BI81" s="211"/>
      <c r="BJ81" s="210">
        <v>0</v>
      </c>
      <c r="BK81" s="211"/>
      <c r="BL81" s="210">
        <f t="shared" si="44"/>
        <v>0</v>
      </c>
      <c r="BM81" s="211"/>
      <c r="BN81" s="210">
        <v>35.54</v>
      </c>
      <c r="BO81" s="211"/>
      <c r="BP81" s="210">
        <v>0</v>
      </c>
      <c r="BQ81" s="211"/>
      <c r="BR81" s="210">
        <f t="shared" si="45"/>
        <v>35.54</v>
      </c>
      <c r="BS81" s="211"/>
      <c r="BT81" s="210">
        <v>89.79</v>
      </c>
      <c r="BU81" s="211"/>
      <c r="BV81" s="210">
        <v>0</v>
      </c>
      <c r="BW81" s="211"/>
      <c r="BX81" s="210">
        <v>0</v>
      </c>
      <c r="BY81" s="211"/>
      <c r="BZ81" s="210">
        <v>0</v>
      </c>
      <c r="CA81" s="211"/>
      <c r="CB81" s="210">
        <v>0</v>
      </c>
      <c r="CC81" s="211"/>
      <c r="CD81" s="210">
        <f t="shared" si="46"/>
        <v>159.43</v>
      </c>
      <c r="CE81" s="211"/>
      <c r="CF81" s="210">
        <v>0</v>
      </c>
      <c r="CG81" s="211"/>
      <c r="CH81" s="210">
        <f t="shared" si="47"/>
        <v>308.36</v>
      </c>
    </row>
    <row r="82" spans="1:86">
      <c r="A82" s="209"/>
      <c r="B82" s="209"/>
      <c r="C82" s="209"/>
      <c r="D82" s="209"/>
      <c r="E82" s="209"/>
      <c r="F82" s="209"/>
      <c r="G82" s="209" t="s">
        <v>207</v>
      </c>
      <c r="H82" s="210">
        <v>0</v>
      </c>
      <c r="I82" s="211"/>
      <c r="J82" s="210">
        <v>0</v>
      </c>
      <c r="K82" s="211"/>
      <c r="L82" s="210">
        <v>0</v>
      </c>
      <c r="M82" s="211"/>
      <c r="N82" s="210">
        <v>0</v>
      </c>
      <c r="O82" s="211"/>
      <c r="P82" s="210">
        <v>0</v>
      </c>
      <c r="Q82" s="211"/>
      <c r="R82" s="210">
        <v>0</v>
      </c>
      <c r="S82" s="211"/>
      <c r="T82" s="210">
        <f t="shared" si="40"/>
        <v>0</v>
      </c>
      <c r="U82" s="211"/>
      <c r="V82" s="210">
        <v>0</v>
      </c>
      <c r="W82" s="211"/>
      <c r="X82" s="210">
        <v>0</v>
      </c>
      <c r="Y82" s="211"/>
      <c r="Z82" s="210">
        <v>0</v>
      </c>
      <c r="AA82" s="211"/>
      <c r="AB82" s="210">
        <v>46.53</v>
      </c>
      <c r="AC82" s="211"/>
      <c r="AD82" s="210">
        <v>947.5</v>
      </c>
      <c r="AE82" s="211"/>
      <c r="AF82" s="210">
        <v>14.64</v>
      </c>
      <c r="AG82" s="211"/>
      <c r="AH82" s="210">
        <v>0</v>
      </c>
      <c r="AI82" s="211"/>
      <c r="AJ82" s="210">
        <v>0</v>
      </c>
      <c r="AK82" s="211"/>
      <c r="AL82" s="210">
        <v>355.15</v>
      </c>
      <c r="AM82" s="211"/>
      <c r="AN82" s="210">
        <f t="shared" si="41"/>
        <v>1363.82</v>
      </c>
      <c r="AO82" s="211"/>
      <c r="AP82" s="210">
        <v>249.94</v>
      </c>
      <c r="AQ82" s="211"/>
      <c r="AR82" s="210">
        <v>0</v>
      </c>
      <c r="AS82" s="211"/>
      <c r="AT82" s="210">
        <f t="shared" si="42"/>
        <v>249.94</v>
      </c>
      <c r="AU82" s="211"/>
      <c r="AV82" s="210">
        <v>0</v>
      </c>
      <c r="AW82" s="211"/>
      <c r="AX82" s="210">
        <v>28.62</v>
      </c>
      <c r="AY82" s="211"/>
      <c r="AZ82" s="210">
        <v>470.04</v>
      </c>
      <c r="BA82" s="211"/>
      <c r="BB82" s="210">
        <v>24271.66</v>
      </c>
      <c r="BC82" s="211"/>
      <c r="BD82" s="210">
        <v>0</v>
      </c>
      <c r="BE82" s="211"/>
      <c r="BF82" s="210">
        <v>0</v>
      </c>
      <c r="BG82" s="211"/>
      <c r="BH82" s="210">
        <f t="shared" si="43"/>
        <v>24770.32</v>
      </c>
      <c r="BI82" s="211"/>
      <c r="BJ82" s="210">
        <v>0</v>
      </c>
      <c r="BK82" s="211"/>
      <c r="BL82" s="210">
        <f t="shared" si="44"/>
        <v>0</v>
      </c>
      <c r="BM82" s="211"/>
      <c r="BN82" s="210">
        <v>2396.84</v>
      </c>
      <c r="BO82" s="211"/>
      <c r="BP82" s="210">
        <v>1335.81</v>
      </c>
      <c r="BQ82" s="211"/>
      <c r="BR82" s="210">
        <f t="shared" si="45"/>
        <v>3732.65</v>
      </c>
      <c r="BS82" s="211"/>
      <c r="BT82" s="210">
        <v>17704.169999999998</v>
      </c>
      <c r="BU82" s="211"/>
      <c r="BV82" s="210">
        <v>0</v>
      </c>
      <c r="BW82" s="211"/>
      <c r="BX82" s="210">
        <v>0</v>
      </c>
      <c r="BY82" s="211"/>
      <c r="BZ82" s="210">
        <v>0</v>
      </c>
      <c r="CA82" s="211"/>
      <c r="CB82" s="210">
        <v>0</v>
      </c>
      <c r="CC82" s="211"/>
      <c r="CD82" s="210">
        <f t="shared" si="46"/>
        <v>46207.14</v>
      </c>
      <c r="CE82" s="211"/>
      <c r="CF82" s="210">
        <v>0</v>
      </c>
      <c r="CG82" s="211"/>
      <c r="CH82" s="210">
        <f t="shared" si="47"/>
        <v>47820.9</v>
      </c>
    </row>
    <row r="83" spans="1:86">
      <c r="A83" s="209"/>
      <c r="B83" s="209"/>
      <c r="C83" s="209"/>
      <c r="D83" s="209"/>
      <c r="E83" s="209"/>
      <c r="F83" s="209"/>
      <c r="G83" s="209" t="s">
        <v>209</v>
      </c>
      <c r="H83" s="210">
        <v>0</v>
      </c>
      <c r="I83" s="211"/>
      <c r="J83" s="210">
        <v>0</v>
      </c>
      <c r="K83" s="211"/>
      <c r="L83" s="210">
        <v>0</v>
      </c>
      <c r="M83" s="211"/>
      <c r="N83" s="210">
        <v>0</v>
      </c>
      <c r="O83" s="211"/>
      <c r="P83" s="210">
        <v>0</v>
      </c>
      <c r="Q83" s="211"/>
      <c r="R83" s="210">
        <v>0</v>
      </c>
      <c r="S83" s="211"/>
      <c r="T83" s="210">
        <f t="shared" si="40"/>
        <v>0</v>
      </c>
      <c r="U83" s="211"/>
      <c r="V83" s="210">
        <v>0</v>
      </c>
      <c r="W83" s="211"/>
      <c r="X83" s="210">
        <v>0</v>
      </c>
      <c r="Y83" s="211"/>
      <c r="Z83" s="210">
        <v>0</v>
      </c>
      <c r="AA83" s="211"/>
      <c r="AB83" s="210">
        <v>381.58</v>
      </c>
      <c r="AC83" s="211"/>
      <c r="AD83" s="210">
        <v>340.26</v>
      </c>
      <c r="AE83" s="211"/>
      <c r="AF83" s="210">
        <v>161.61000000000001</v>
      </c>
      <c r="AG83" s="211"/>
      <c r="AH83" s="210">
        <v>466.05</v>
      </c>
      <c r="AI83" s="211"/>
      <c r="AJ83" s="210">
        <v>65.31</v>
      </c>
      <c r="AK83" s="211"/>
      <c r="AL83" s="210">
        <v>892.82</v>
      </c>
      <c r="AM83" s="211"/>
      <c r="AN83" s="210">
        <f t="shared" si="41"/>
        <v>2307.63</v>
      </c>
      <c r="AO83" s="211"/>
      <c r="AP83" s="210">
        <v>4705.34</v>
      </c>
      <c r="AQ83" s="211"/>
      <c r="AR83" s="210">
        <v>3910.55</v>
      </c>
      <c r="AS83" s="211"/>
      <c r="AT83" s="210">
        <f t="shared" si="42"/>
        <v>8615.89</v>
      </c>
      <c r="AU83" s="211"/>
      <c r="AV83" s="210">
        <v>10.39</v>
      </c>
      <c r="AW83" s="211"/>
      <c r="AX83" s="210">
        <v>770.39</v>
      </c>
      <c r="AY83" s="211"/>
      <c r="AZ83" s="210">
        <v>873.22</v>
      </c>
      <c r="BA83" s="211"/>
      <c r="BB83" s="210">
        <v>12896.32</v>
      </c>
      <c r="BC83" s="211"/>
      <c r="BD83" s="210">
        <v>67.31</v>
      </c>
      <c r="BE83" s="211"/>
      <c r="BF83" s="210">
        <v>0</v>
      </c>
      <c r="BG83" s="211"/>
      <c r="BH83" s="210">
        <f t="shared" si="43"/>
        <v>14617.63</v>
      </c>
      <c r="BI83" s="211"/>
      <c r="BJ83" s="210">
        <v>289.33999999999997</v>
      </c>
      <c r="BK83" s="211"/>
      <c r="BL83" s="210">
        <f t="shared" si="44"/>
        <v>289.33999999999997</v>
      </c>
      <c r="BM83" s="211"/>
      <c r="BN83" s="210">
        <v>5877.34</v>
      </c>
      <c r="BO83" s="211"/>
      <c r="BP83" s="210">
        <v>1295.3699999999999</v>
      </c>
      <c r="BQ83" s="211"/>
      <c r="BR83" s="210">
        <f t="shared" si="45"/>
        <v>7172.71</v>
      </c>
      <c r="BS83" s="211"/>
      <c r="BT83" s="210">
        <v>40839.07</v>
      </c>
      <c r="BU83" s="211"/>
      <c r="BV83" s="210">
        <v>526.29</v>
      </c>
      <c r="BW83" s="211"/>
      <c r="BX83" s="210">
        <v>0</v>
      </c>
      <c r="BY83" s="211"/>
      <c r="BZ83" s="210">
        <v>0</v>
      </c>
      <c r="CA83" s="211"/>
      <c r="CB83" s="210">
        <v>0</v>
      </c>
      <c r="CC83" s="211"/>
      <c r="CD83" s="210">
        <f t="shared" si="46"/>
        <v>63445.04</v>
      </c>
      <c r="CE83" s="211"/>
      <c r="CF83" s="210">
        <v>0</v>
      </c>
      <c r="CG83" s="211"/>
      <c r="CH83" s="210">
        <f t="shared" si="47"/>
        <v>74368.56</v>
      </c>
    </row>
    <row r="84" spans="1:86" ht="15" thickBot="1">
      <c r="A84" s="209"/>
      <c r="B84" s="209"/>
      <c r="C84" s="209"/>
      <c r="D84" s="209"/>
      <c r="E84" s="209"/>
      <c r="F84" s="209"/>
      <c r="G84" s="209" t="s">
        <v>389</v>
      </c>
      <c r="H84" s="213">
        <v>0</v>
      </c>
      <c r="I84" s="211"/>
      <c r="J84" s="213">
        <v>0</v>
      </c>
      <c r="K84" s="211"/>
      <c r="L84" s="213">
        <v>0</v>
      </c>
      <c r="M84" s="211"/>
      <c r="N84" s="213">
        <v>0</v>
      </c>
      <c r="O84" s="211"/>
      <c r="P84" s="213">
        <v>0</v>
      </c>
      <c r="Q84" s="211"/>
      <c r="R84" s="213">
        <v>0</v>
      </c>
      <c r="S84" s="211"/>
      <c r="T84" s="213">
        <f t="shared" si="40"/>
        <v>0</v>
      </c>
      <c r="U84" s="211"/>
      <c r="V84" s="213">
        <v>0</v>
      </c>
      <c r="W84" s="211"/>
      <c r="X84" s="213">
        <v>0</v>
      </c>
      <c r="Y84" s="211"/>
      <c r="Z84" s="213">
        <v>0</v>
      </c>
      <c r="AA84" s="211"/>
      <c r="AB84" s="213">
        <v>0</v>
      </c>
      <c r="AC84" s="211"/>
      <c r="AD84" s="213">
        <v>0</v>
      </c>
      <c r="AE84" s="211"/>
      <c r="AF84" s="213">
        <v>0</v>
      </c>
      <c r="AG84" s="211"/>
      <c r="AH84" s="213">
        <v>0</v>
      </c>
      <c r="AI84" s="211"/>
      <c r="AJ84" s="213">
        <v>0</v>
      </c>
      <c r="AK84" s="211"/>
      <c r="AL84" s="213">
        <v>0</v>
      </c>
      <c r="AM84" s="211"/>
      <c r="AN84" s="213">
        <f t="shared" si="41"/>
        <v>0</v>
      </c>
      <c r="AO84" s="211"/>
      <c r="AP84" s="213">
        <v>0</v>
      </c>
      <c r="AQ84" s="211"/>
      <c r="AR84" s="213">
        <v>0</v>
      </c>
      <c r="AS84" s="211"/>
      <c r="AT84" s="213">
        <f t="shared" si="42"/>
        <v>0</v>
      </c>
      <c r="AU84" s="211"/>
      <c r="AV84" s="213">
        <v>0</v>
      </c>
      <c r="AW84" s="211"/>
      <c r="AX84" s="213">
        <v>0</v>
      </c>
      <c r="AY84" s="211"/>
      <c r="AZ84" s="213">
        <v>0</v>
      </c>
      <c r="BA84" s="211"/>
      <c r="BB84" s="213">
        <v>0</v>
      </c>
      <c r="BC84" s="211"/>
      <c r="BD84" s="213">
        <v>0</v>
      </c>
      <c r="BE84" s="211"/>
      <c r="BF84" s="213">
        <v>0</v>
      </c>
      <c r="BG84" s="211"/>
      <c r="BH84" s="213">
        <f t="shared" si="43"/>
        <v>0</v>
      </c>
      <c r="BI84" s="211"/>
      <c r="BJ84" s="213">
        <v>0</v>
      </c>
      <c r="BK84" s="211"/>
      <c r="BL84" s="213">
        <f t="shared" si="44"/>
        <v>0</v>
      </c>
      <c r="BM84" s="211"/>
      <c r="BN84" s="213">
        <v>0</v>
      </c>
      <c r="BO84" s="211"/>
      <c r="BP84" s="213">
        <v>0</v>
      </c>
      <c r="BQ84" s="211"/>
      <c r="BR84" s="213">
        <f t="shared" si="45"/>
        <v>0</v>
      </c>
      <c r="BS84" s="211"/>
      <c r="BT84" s="213">
        <v>0</v>
      </c>
      <c r="BU84" s="211"/>
      <c r="BV84" s="213">
        <v>0</v>
      </c>
      <c r="BW84" s="211"/>
      <c r="BX84" s="213">
        <v>0</v>
      </c>
      <c r="BY84" s="211"/>
      <c r="BZ84" s="213">
        <v>387.65</v>
      </c>
      <c r="CA84" s="211"/>
      <c r="CB84" s="213">
        <v>0</v>
      </c>
      <c r="CC84" s="211"/>
      <c r="CD84" s="213">
        <f t="shared" si="46"/>
        <v>387.65</v>
      </c>
      <c r="CE84" s="211"/>
      <c r="CF84" s="213">
        <v>0</v>
      </c>
      <c r="CG84" s="211"/>
      <c r="CH84" s="213">
        <f t="shared" si="47"/>
        <v>387.65</v>
      </c>
    </row>
    <row r="85" spans="1:86">
      <c r="A85" s="209"/>
      <c r="B85" s="209"/>
      <c r="C85" s="209"/>
      <c r="D85" s="209"/>
      <c r="E85" s="209"/>
      <c r="F85" s="209" t="s">
        <v>135</v>
      </c>
      <c r="G85" s="209"/>
      <c r="H85" s="210">
        <f>ROUND(SUM(H70:H84),5)</f>
        <v>0</v>
      </c>
      <c r="I85" s="211"/>
      <c r="J85" s="210">
        <f>ROUND(SUM(J70:J84),5)</f>
        <v>0</v>
      </c>
      <c r="K85" s="211"/>
      <c r="L85" s="210">
        <f>ROUND(SUM(L70:L84),5)</f>
        <v>0</v>
      </c>
      <c r="M85" s="211"/>
      <c r="N85" s="210">
        <f>ROUND(SUM(N70:N84),5)</f>
        <v>0</v>
      </c>
      <c r="O85" s="211"/>
      <c r="P85" s="210">
        <f>ROUND(SUM(P70:P84),5)</f>
        <v>0</v>
      </c>
      <c r="Q85" s="211"/>
      <c r="R85" s="210">
        <f>ROUND(SUM(R70:R84),5)</f>
        <v>0</v>
      </c>
      <c r="S85" s="211"/>
      <c r="T85" s="210">
        <f t="shared" si="40"/>
        <v>0</v>
      </c>
      <c r="U85" s="211"/>
      <c r="V85" s="210">
        <f>ROUND(SUM(V70:V84),5)</f>
        <v>0</v>
      </c>
      <c r="W85" s="211"/>
      <c r="X85" s="210">
        <f>ROUND(SUM(X70:X84),5)</f>
        <v>0</v>
      </c>
      <c r="Y85" s="211"/>
      <c r="Z85" s="210">
        <f>ROUND(SUM(Z70:Z84),5)</f>
        <v>0</v>
      </c>
      <c r="AA85" s="211"/>
      <c r="AB85" s="210">
        <f>ROUND(SUM(AB70:AB84),5)</f>
        <v>9340.9699999999993</v>
      </c>
      <c r="AC85" s="211"/>
      <c r="AD85" s="210">
        <f>ROUND(SUM(AD70:AD84),5)</f>
        <v>12194.49</v>
      </c>
      <c r="AE85" s="211"/>
      <c r="AF85" s="210">
        <f>ROUND(SUM(AF70:AF84),5)</f>
        <v>31128.29</v>
      </c>
      <c r="AG85" s="211"/>
      <c r="AH85" s="210">
        <f>ROUND(SUM(AH70:AH84),5)</f>
        <v>6919.29</v>
      </c>
      <c r="AI85" s="211"/>
      <c r="AJ85" s="210">
        <f>ROUND(SUM(AJ70:AJ84),5)</f>
        <v>2193.48</v>
      </c>
      <c r="AK85" s="211"/>
      <c r="AL85" s="210">
        <f>ROUND(SUM(AL70:AL84),5)</f>
        <v>38933.11</v>
      </c>
      <c r="AM85" s="211"/>
      <c r="AN85" s="210">
        <f t="shared" si="41"/>
        <v>100709.63</v>
      </c>
      <c r="AO85" s="211"/>
      <c r="AP85" s="210">
        <f>ROUND(SUM(AP70:AP84),5)</f>
        <v>74451.649999999994</v>
      </c>
      <c r="AQ85" s="211"/>
      <c r="AR85" s="210">
        <f>ROUND(SUM(AR70:AR84),5)</f>
        <v>67535.06</v>
      </c>
      <c r="AS85" s="211"/>
      <c r="AT85" s="210">
        <f t="shared" si="42"/>
        <v>141986.71</v>
      </c>
      <c r="AU85" s="211"/>
      <c r="AV85" s="210">
        <f>ROUND(SUM(AV70:AV84),5)</f>
        <v>3413.7</v>
      </c>
      <c r="AW85" s="211"/>
      <c r="AX85" s="210">
        <f>ROUND(SUM(AX70:AX84),5)</f>
        <v>39493.53</v>
      </c>
      <c r="AY85" s="211"/>
      <c r="AZ85" s="210">
        <f>ROUND(SUM(AZ70:AZ84),5)</f>
        <v>22872.21</v>
      </c>
      <c r="BA85" s="211"/>
      <c r="BB85" s="210">
        <f>ROUND(SUM(BB70:BB84),5)</f>
        <v>295361.14</v>
      </c>
      <c r="BC85" s="211"/>
      <c r="BD85" s="210">
        <f>ROUND(SUM(BD70:BD84),5)</f>
        <v>1954.77</v>
      </c>
      <c r="BE85" s="211"/>
      <c r="BF85" s="210">
        <f>ROUND(SUM(BF70:BF84),5)</f>
        <v>0</v>
      </c>
      <c r="BG85" s="211"/>
      <c r="BH85" s="210">
        <f t="shared" si="43"/>
        <v>363095.35</v>
      </c>
      <c r="BI85" s="211"/>
      <c r="BJ85" s="210">
        <f>ROUND(SUM(BJ70:BJ84),5)</f>
        <v>5243.75</v>
      </c>
      <c r="BK85" s="211"/>
      <c r="BL85" s="210">
        <f t="shared" si="44"/>
        <v>5243.75</v>
      </c>
      <c r="BM85" s="211"/>
      <c r="BN85" s="210">
        <f>ROUND(SUM(BN70:BN84),5)</f>
        <v>156701.46</v>
      </c>
      <c r="BO85" s="211"/>
      <c r="BP85" s="210">
        <f>ROUND(SUM(BP70:BP84),5)</f>
        <v>39864.269999999997</v>
      </c>
      <c r="BQ85" s="211"/>
      <c r="BR85" s="210">
        <f t="shared" si="45"/>
        <v>196565.73</v>
      </c>
      <c r="BS85" s="211"/>
      <c r="BT85" s="210">
        <f>ROUND(SUM(BT70:BT84),5)</f>
        <v>813482.21</v>
      </c>
      <c r="BU85" s="211"/>
      <c r="BV85" s="210">
        <f>ROUND(SUM(BV70:BV84),5)</f>
        <v>9835.0499999999993</v>
      </c>
      <c r="BW85" s="211"/>
      <c r="BX85" s="210">
        <f>ROUND(SUM(BX70:BX84),5)</f>
        <v>0</v>
      </c>
      <c r="BY85" s="211"/>
      <c r="BZ85" s="210">
        <f>ROUND(SUM(BZ70:BZ84),5)</f>
        <v>-847.37</v>
      </c>
      <c r="CA85" s="211"/>
      <c r="CB85" s="210">
        <f>ROUND(SUM(CB70:CB84),5)</f>
        <v>0</v>
      </c>
      <c r="CC85" s="211"/>
      <c r="CD85" s="210">
        <f t="shared" si="46"/>
        <v>1387374.72</v>
      </c>
      <c r="CE85" s="211"/>
      <c r="CF85" s="210">
        <f>ROUND(SUM(CF70:CF84),5)</f>
        <v>-33.799999999999997</v>
      </c>
      <c r="CG85" s="211"/>
      <c r="CH85" s="210">
        <f t="shared" si="47"/>
        <v>1630037.26</v>
      </c>
    </row>
    <row r="86" spans="1:86" ht="15" thickBot="1">
      <c r="A86" s="209"/>
      <c r="B86" s="209"/>
      <c r="C86" s="209"/>
      <c r="D86" s="209"/>
      <c r="E86" s="209"/>
      <c r="F86" s="209" t="s">
        <v>212</v>
      </c>
      <c r="G86" s="209"/>
      <c r="H86" s="213">
        <v>0</v>
      </c>
      <c r="I86" s="211"/>
      <c r="J86" s="213">
        <v>0</v>
      </c>
      <c r="K86" s="211"/>
      <c r="L86" s="213">
        <v>0.01</v>
      </c>
      <c r="M86" s="211"/>
      <c r="N86" s="213">
        <v>0</v>
      </c>
      <c r="O86" s="211"/>
      <c r="P86" s="213">
        <v>0</v>
      </c>
      <c r="Q86" s="211"/>
      <c r="R86" s="213">
        <v>0</v>
      </c>
      <c r="S86" s="211"/>
      <c r="T86" s="213">
        <f t="shared" si="40"/>
        <v>0</v>
      </c>
      <c r="U86" s="211"/>
      <c r="V86" s="213">
        <v>0</v>
      </c>
      <c r="W86" s="211"/>
      <c r="X86" s="213">
        <v>0</v>
      </c>
      <c r="Y86" s="211"/>
      <c r="Z86" s="213">
        <v>0</v>
      </c>
      <c r="AA86" s="211"/>
      <c r="AB86" s="213">
        <v>0</v>
      </c>
      <c r="AC86" s="211"/>
      <c r="AD86" s="213">
        <v>294.86</v>
      </c>
      <c r="AE86" s="211"/>
      <c r="AF86" s="213">
        <v>42.56</v>
      </c>
      <c r="AG86" s="211"/>
      <c r="AH86" s="213">
        <v>0</v>
      </c>
      <c r="AI86" s="211"/>
      <c r="AJ86" s="213">
        <v>0</v>
      </c>
      <c r="AK86" s="211"/>
      <c r="AL86" s="213">
        <v>0</v>
      </c>
      <c r="AM86" s="211"/>
      <c r="AN86" s="213">
        <f t="shared" si="41"/>
        <v>337.42</v>
      </c>
      <c r="AO86" s="211"/>
      <c r="AP86" s="213">
        <v>600.16999999999996</v>
      </c>
      <c r="AQ86" s="211"/>
      <c r="AR86" s="213">
        <v>116.17</v>
      </c>
      <c r="AS86" s="211"/>
      <c r="AT86" s="213">
        <f t="shared" si="42"/>
        <v>716.34</v>
      </c>
      <c r="AU86" s="211"/>
      <c r="AV86" s="213">
        <v>0</v>
      </c>
      <c r="AW86" s="211"/>
      <c r="AX86" s="213">
        <v>31.97</v>
      </c>
      <c r="AY86" s="211"/>
      <c r="AZ86" s="213">
        <v>4.08</v>
      </c>
      <c r="BA86" s="211"/>
      <c r="BB86" s="213">
        <v>109.95</v>
      </c>
      <c r="BC86" s="211"/>
      <c r="BD86" s="213">
        <v>0</v>
      </c>
      <c r="BE86" s="211"/>
      <c r="BF86" s="213">
        <v>0</v>
      </c>
      <c r="BG86" s="211"/>
      <c r="BH86" s="213">
        <f t="shared" si="43"/>
        <v>146</v>
      </c>
      <c r="BI86" s="211"/>
      <c r="BJ86" s="213">
        <v>0</v>
      </c>
      <c r="BK86" s="211"/>
      <c r="BL86" s="213">
        <f t="shared" si="44"/>
        <v>0</v>
      </c>
      <c r="BM86" s="211"/>
      <c r="BN86" s="213">
        <v>29.28</v>
      </c>
      <c r="BO86" s="211"/>
      <c r="BP86" s="213">
        <v>17.72</v>
      </c>
      <c r="BQ86" s="211"/>
      <c r="BR86" s="213">
        <f t="shared" si="45"/>
        <v>47</v>
      </c>
      <c r="BS86" s="211"/>
      <c r="BT86" s="213">
        <v>80.39</v>
      </c>
      <c r="BU86" s="211"/>
      <c r="BV86" s="213">
        <v>0</v>
      </c>
      <c r="BW86" s="211"/>
      <c r="BX86" s="213">
        <v>0</v>
      </c>
      <c r="BY86" s="211"/>
      <c r="BZ86" s="213">
        <v>0</v>
      </c>
      <c r="CA86" s="211"/>
      <c r="CB86" s="213">
        <v>0</v>
      </c>
      <c r="CC86" s="211"/>
      <c r="CD86" s="213">
        <f t="shared" si="46"/>
        <v>273.39</v>
      </c>
      <c r="CE86" s="211"/>
      <c r="CF86" s="213">
        <v>0</v>
      </c>
      <c r="CG86" s="211"/>
      <c r="CH86" s="213">
        <f t="shared" si="47"/>
        <v>1327.16</v>
      </c>
    </row>
    <row r="87" spans="1:86">
      <c r="A87" s="209"/>
      <c r="B87" s="209"/>
      <c r="C87" s="209"/>
      <c r="D87" s="209"/>
      <c r="E87" s="209" t="s">
        <v>213</v>
      </c>
      <c r="F87" s="209"/>
      <c r="G87" s="209"/>
      <c r="H87" s="210">
        <f>ROUND(H42+H48+H57+H62+H69+SUM(H85:H86),5)</f>
        <v>0</v>
      </c>
      <c r="I87" s="211"/>
      <c r="J87" s="210">
        <f>ROUND(J42+J48+J57+J62+J69+SUM(J85:J86),5)</f>
        <v>0</v>
      </c>
      <c r="K87" s="211"/>
      <c r="L87" s="210">
        <f>ROUND(L42+L48+L57+L62+L69+SUM(L85:L86),5)</f>
        <v>0.01</v>
      </c>
      <c r="M87" s="211"/>
      <c r="N87" s="210">
        <f>ROUND(N42+N48+N57+N62+N69+SUM(N85:N86),5)</f>
        <v>0</v>
      </c>
      <c r="O87" s="211"/>
      <c r="P87" s="210">
        <f>ROUND(P42+P48+P57+P62+P69+SUM(P85:P86),5)</f>
        <v>0</v>
      </c>
      <c r="Q87" s="211"/>
      <c r="R87" s="210">
        <f>ROUND(R42+R48+R57+R62+R69+SUM(R85:R86),5)</f>
        <v>0</v>
      </c>
      <c r="S87" s="211"/>
      <c r="T87" s="210">
        <f t="shared" si="40"/>
        <v>0</v>
      </c>
      <c r="U87" s="211"/>
      <c r="V87" s="210">
        <f>ROUND(V42+V48+V57+V62+V69+SUM(V85:V86),5)</f>
        <v>70201</v>
      </c>
      <c r="W87" s="211"/>
      <c r="X87" s="210">
        <f>ROUND(X42+X48+X57+X62+X69+SUM(X85:X86),5)</f>
        <v>0</v>
      </c>
      <c r="Y87" s="211"/>
      <c r="Z87" s="210">
        <f>ROUND(Z42+Z48+Z57+Z62+Z69+SUM(Z85:Z86),5)</f>
        <v>0</v>
      </c>
      <c r="AA87" s="211"/>
      <c r="AB87" s="210">
        <f>ROUND(AB42+AB48+AB57+AB62+AB69+SUM(AB85:AB86),5)</f>
        <v>13007.57</v>
      </c>
      <c r="AC87" s="211"/>
      <c r="AD87" s="210">
        <f>ROUND(AD42+AD48+AD57+AD62+AD69+SUM(AD85:AD86),5)</f>
        <v>17365.63</v>
      </c>
      <c r="AE87" s="211"/>
      <c r="AF87" s="210">
        <f>ROUND(AF42+AF48+AF57+AF62+AF69+SUM(AF85:AF86),5)</f>
        <v>45574.06</v>
      </c>
      <c r="AG87" s="211"/>
      <c r="AH87" s="210">
        <f>ROUND(AH42+AH48+AH57+AH62+AH69+SUM(AH85:AH86),5)</f>
        <v>7717.28</v>
      </c>
      <c r="AI87" s="211"/>
      <c r="AJ87" s="210">
        <f>ROUND(AJ42+AJ48+AJ57+AJ62+AJ69+SUM(AJ85:AJ86),5)</f>
        <v>7678.22</v>
      </c>
      <c r="AK87" s="211"/>
      <c r="AL87" s="210">
        <f>ROUND(AL42+AL48+AL57+AL62+AL69+SUM(AL85:AL86),5)</f>
        <v>42852.12</v>
      </c>
      <c r="AM87" s="211"/>
      <c r="AN87" s="210">
        <f t="shared" si="41"/>
        <v>134194.88</v>
      </c>
      <c r="AO87" s="211"/>
      <c r="AP87" s="210">
        <f>ROUND(AP42+AP48+AP57+AP62+AP69+SUM(AP85:AP86),5)</f>
        <v>115807.51</v>
      </c>
      <c r="AQ87" s="211"/>
      <c r="AR87" s="210">
        <f>ROUND(AR42+AR48+AR57+AR62+AR69+SUM(AR85:AR86),5)</f>
        <v>82888.62</v>
      </c>
      <c r="AS87" s="211"/>
      <c r="AT87" s="210">
        <f t="shared" si="42"/>
        <v>198696.13</v>
      </c>
      <c r="AU87" s="211"/>
      <c r="AV87" s="210">
        <f>ROUND(AV42+AV48+AV57+AV62+AV69+SUM(AV85:AV86),5)</f>
        <v>5602.94</v>
      </c>
      <c r="AW87" s="211"/>
      <c r="AX87" s="210">
        <f>ROUND(AX42+AX48+AX57+AX62+AX69+SUM(AX85:AX86),5)</f>
        <v>89643.1</v>
      </c>
      <c r="AY87" s="211"/>
      <c r="AZ87" s="210">
        <f>ROUND(AZ42+AZ48+AZ57+AZ62+AZ69+SUM(AZ85:AZ86),5)</f>
        <v>42682.29</v>
      </c>
      <c r="BA87" s="211"/>
      <c r="BB87" s="210">
        <f>ROUND(BB42+BB48+BB57+BB62+BB69+SUM(BB85:BB86),5)</f>
        <v>442106.96</v>
      </c>
      <c r="BC87" s="211"/>
      <c r="BD87" s="210">
        <f>ROUND(BD42+BD48+BD57+BD62+BD69+SUM(BD85:BD86),5)</f>
        <v>4584.45</v>
      </c>
      <c r="BE87" s="211"/>
      <c r="BF87" s="210">
        <f>ROUND(BF42+BF48+BF57+BF62+BF69+SUM(BF85:BF86),5)</f>
        <v>0</v>
      </c>
      <c r="BG87" s="211"/>
      <c r="BH87" s="210">
        <f t="shared" si="43"/>
        <v>584619.74</v>
      </c>
      <c r="BI87" s="211"/>
      <c r="BJ87" s="210">
        <f>ROUND(BJ42+BJ48+BJ57+BJ62+BJ69+SUM(BJ85:BJ86),5)</f>
        <v>5249.75</v>
      </c>
      <c r="BK87" s="211"/>
      <c r="BL87" s="210">
        <f t="shared" si="44"/>
        <v>5249.75</v>
      </c>
      <c r="BM87" s="211"/>
      <c r="BN87" s="210">
        <f>ROUND(BN42+BN48+BN57+BN62+BN69+SUM(BN85:BN86),5)</f>
        <v>198605.89</v>
      </c>
      <c r="BO87" s="211"/>
      <c r="BP87" s="210">
        <f>ROUND(BP42+BP48+BP57+BP62+BP69+SUM(BP85:BP86),5)</f>
        <v>46998.36</v>
      </c>
      <c r="BQ87" s="211"/>
      <c r="BR87" s="210">
        <f t="shared" si="45"/>
        <v>245604.25</v>
      </c>
      <c r="BS87" s="211"/>
      <c r="BT87" s="210">
        <f>ROUND(BT42+BT48+BT57+BT62+BT69+SUM(BT85:BT86),5)</f>
        <v>1107586.05</v>
      </c>
      <c r="BU87" s="211"/>
      <c r="BV87" s="210">
        <f>ROUND(BV42+BV48+BV57+BV62+BV69+SUM(BV85:BV86),5)</f>
        <v>10756.17</v>
      </c>
      <c r="BW87" s="211"/>
      <c r="BX87" s="210">
        <f>ROUND(BX42+BX48+BX57+BX62+BX69+SUM(BX85:BX86),5)</f>
        <v>2490.8200000000002</v>
      </c>
      <c r="BY87" s="211"/>
      <c r="BZ87" s="210">
        <f>ROUND(BZ42+BZ48+BZ57+BZ62+BZ69+SUM(BZ85:BZ86),5)</f>
        <v>-2143.83</v>
      </c>
      <c r="CA87" s="211"/>
      <c r="CB87" s="210">
        <f>ROUND(CB42+CB48+CB57+CB62+CB69+SUM(CB85:CB86),5)</f>
        <v>0</v>
      </c>
      <c r="CC87" s="211"/>
      <c r="CD87" s="210">
        <f t="shared" si="46"/>
        <v>1954162.95</v>
      </c>
      <c r="CE87" s="211"/>
      <c r="CF87" s="210">
        <f>ROUND(CF42+CF48+CF57+CF62+CF69+SUM(CF85:CF86),5)</f>
        <v>0.16</v>
      </c>
      <c r="CG87" s="211"/>
      <c r="CH87" s="210">
        <f t="shared" si="47"/>
        <v>2357255.13</v>
      </c>
    </row>
    <row r="88" spans="1:86">
      <c r="A88" s="209"/>
      <c r="B88" s="209"/>
      <c r="C88" s="209"/>
      <c r="D88" s="209"/>
      <c r="E88" s="209" t="s">
        <v>79</v>
      </c>
      <c r="F88" s="209"/>
      <c r="G88" s="209"/>
      <c r="H88" s="210"/>
      <c r="I88" s="211"/>
      <c r="J88" s="210"/>
      <c r="K88" s="211"/>
      <c r="L88" s="210"/>
      <c r="M88" s="211"/>
      <c r="N88" s="210"/>
      <c r="O88" s="211"/>
      <c r="P88" s="210"/>
      <c r="Q88" s="211"/>
      <c r="R88" s="210"/>
      <c r="S88" s="211"/>
      <c r="T88" s="210"/>
      <c r="U88" s="211"/>
      <c r="V88" s="210"/>
      <c r="W88" s="211"/>
      <c r="X88" s="210"/>
      <c r="Y88" s="211"/>
      <c r="Z88" s="210"/>
      <c r="AA88" s="211"/>
      <c r="AB88" s="210"/>
      <c r="AC88" s="211"/>
      <c r="AD88" s="210"/>
      <c r="AE88" s="211"/>
      <c r="AF88" s="210"/>
      <c r="AG88" s="211"/>
      <c r="AH88" s="210"/>
      <c r="AI88" s="211"/>
      <c r="AJ88" s="210"/>
      <c r="AK88" s="211"/>
      <c r="AL88" s="210"/>
      <c r="AM88" s="211"/>
      <c r="AN88" s="210"/>
      <c r="AO88" s="211"/>
      <c r="AP88" s="210"/>
      <c r="AQ88" s="211"/>
      <c r="AR88" s="210"/>
      <c r="AS88" s="211"/>
      <c r="AT88" s="210"/>
      <c r="AU88" s="211"/>
      <c r="AV88" s="210"/>
      <c r="AW88" s="211"/>
      <c r="AX88" s="210"/>
      <c r="AY88" s="211"/>
      <c r="AZ88" s="210"/>
      <c r="BA88" s="211"/>
      <c r="BB88" s="210"/>
      <c r="BC88" s="211"/>
      <c r="BD88" s="210"/>
      <c r="BE88" s="211"/>
      <c r="BF88" s="210"/>
      <c r="BG88" s="211"/>
      <c r="BH88" s="210"/>
      <c r="BI88" s="211"/>
      <c r="BJ88" s="210"/>
      <c r="BK88" s="211"/>
      <c r="BL88" s="210"/>
      <c r="BM88" s="211"/>
      <c r="BN88" s="210"/>
      <c r="BO88" s="211"/>
      <c r="BP88" s="210"/>
      <c r="BQ88" s="211"/>
      <c r="BR88" s="210"/>
      <c r="BS88" s="211"/>
      <c r="BT88" s="210"/>
      <c r="BU88" s="211"/>
      <c r="BV88" s="210"/>
      <c r="BW88" s="211"/>
      <c r="BX88" s="210"/>
      <c r="BY88" s="211"/>
      <c r="BZ88" s="210"/>
      <c r="CA88" s="211"/>
      <c r="CB88" s="210"/>
      <c r="CC88" s="211"/>
      <c r="CD88" s="210"/>
      <c r="CE88" s="211"/>
      <c r="CF88" s="210"/>
      <c r="CG88" s="211"/>
      <c r="CH88" s="210"/>
    </row>
    <row r="89" spans="1:86">
      <c r="A89" s="209"/>
      <c r="B89" s="209"/>
      <c r="C89" s="209"/>
      <c r="D89" s="209"/>
      <c r="E89" s="209"/>
      <c r="F89" s="209" t="s">
        <v>129</v>
      </c>
      <c r="G89" s="209"/>
      <c r="H89" s="210"/>
      <c r="I89" s="211"/>
      <c r="J89" s="210"/>
      <c r="K89" s="211"/>
      <c r="L89" s="210"/>
      <c r="M89" s="211"/>
      <c r="N89" s="210"/>
      <c r="O89" s="211"/>
      <c r="P89" s="210"/>
      <c r="Q89" s="211"/>
      <c r="R89" s="210"/>
      <c r="S89" s="211"/>
      <c r="T89" s="210"/>
      <c r="U89" s="211"/>
      <c r="V89" s="210"/>
      <c r="W89" s="211"/>
      <c r="X89" s="210"/>
      <c r="Y89" s="211"/>
      <c r="Z89" s="210"/>
      <c r="AA89" s="211"/>
      <c r="AB89" s="210"/>
      <c r="AC89" s="211"/>
      <c r="AD89" s="210"/>
      <c r="AE89" s="211"/>
      <c r="AF89" s="210"/>
      <c r="AG89" s="211"/>
      <c r="AH89" s="210"/>
      <c r="AI89" s="211"/>
      <c r="AJ89" s="210"/>
      <c r="AK89" s="211"/>
      <c r="AL89" s="210"/>
      <c r="AM89" s="211"/>
      <c r="AN89" s="210"/>
      <c r="AO89" s="211"/>
      <c r="AP89" s="210"/>
      <c r="AQ89" s="211"/>
      <c r="AR89" s="210"/>
      <c r="AS89" s="211"/>
      <c r="AT89" s="210"/>
      <c r="AU89" s="211"/>
      <c r="AV89" s="210"/>
      <c r="AW89" s="211"/>
      <c r="AX89" s="210"/>
      <c r="AY89" s="211"/>
      <c r="AZ89" s="210"/>
      <c r="BA89" s="211"/>
      <c r="BB89" s="210"/>
      <c r="BC89" s="211"/>
      <c r="BD89" s="210"/>
      <c r="BE89" s="211"/>
      <c r="BF89" s="210"/>
      <c r="BG89" s="211"/>
      <c r="BH89" s="210"/>
      <c r="BI89" s="211"/>
      <c r="BJ89" s="210"/>
      <c r="BK89" s="211"/>
      <c r="BL89" s="210"/>
      <c r="BM89" s="211"/>
      <c r="BN89" s="210"/>
      <c r="BO89" s="211"/>
      <c r="BP89" s="210"/>
      <c r="BQ89" s="211"/>
      <c r="BR89" s="210"/>
      <c r="BS89" s="211"/>
      <c r="BT89" s="210"/>
      <c r="BU89" s="211"/>
      <c r="BV89" s="210"/>
      <c r="BW89" s="211"/>
      <c r="BX89" s="210"/>
      <c r="BY89" s="211"/>
      <c r="BZ89" s="210"/>
      <c r="CA89" s="211"/>
      <c r="CB89" s="210"/>
      <c r="CC89" s="211"/>
      <c r="CD89" s="210"/>
      <c r="CE89" s="211"/>
      <c r="CF89" s="210"/>
      <c r="CG89" s="211"/>
      <c r="CH89" s="210"/>
    </row>
    <row r="90" spans="1:86">
      <c r="A90" s="209"/>
      <c r="B90" s="209"/>
      <c r="C90" s="209"/>
      <c r="D90" s="209"/>
      <c r="E90" s="209"/>
      <c r="F90" s="209"/>
      <c r="G90" s="209" t="s">
        <v>130</v>
      </c>
      <c r="H90" s="210">
        <v>0</v>
      </c>
      <c r="I90" s="211"/>
      <c r="J90" s="210">
        <v>0</v>
      </c>
      <c r="K90" s="211"/>
      <c r="L90" s="210">
        <v>0</v>
      </c>
      <c r="M90" s="211"/>
      <c r="N90" s="210">
        <v>0</v>
      </c>
      <c r="O90" s="211"/>
      <c r="P90" s="210">
        <v>0</v>
      </c>
      <c r="Q90" s="211"/>
      <c r="R90" s="210">
        <v>0</v>
      </c>
      <c r="S90" s="211"/>
      <c r="T90" s="210">
        <f t="shared" ref="T90:T101" si="48">ROUND(SUM(P90:R90),5)</f>
        <v>0</v>
      </c>
      <c r="U90" s="211"/>
      <c r="V90" s="210">
        <v>0</v>
      </c>
      <c r="W90" s="211"/>
      <c r="X90" s="210">
        <v>0</v>
      </c>
      <c r="Y90" s="211"/>
      <c r="Z90" s="210">
        <v>0</v>
      </c>
      <c r="AA90" s="211"/>
      <c r="AB90" s="210">
        <v>0</v>
      </c>
      <c r="AC90" s="211"/>
      <c r="AD90" s="210">
        <v>0</v>
      </c>
      <c r="AE90" s="211"/>
      <c r="AF90" s="210">
        <v>147.19</v>
      </c>
      <c r="AG90" s="211"/>
      <c r="AH90" s="210">
        <v>3295.6</v>
      </c>
      <c r="AI90" s="211"/>
      <c r="AJ90" s="210">
        <v>0</v>
      </c>
      <c r="AK90" s="211"/>
      <c r="AL90" s="210">
        <v>0</v>
      </c>
      <c r="AM90" s="211"/>
      <c r="AN90" s="210">
        <f t="shared" ref="AN90:AN101" si="49">ROUND(SUM(X90:AL90),5)</f>
        <v>3442.79</v>
      </c>
      <c r="AO90" s="211"/>
      <c r="AP90" s="210">
        <v>9996.39</v>
      </c>
      <c r="AQ90" s="211"/>
      <c r="AR90" s="210">
        <v>0</v>
      </c>
      <c r="AS90" s="211"/>
      <c r="AT90" s="210">
        <f t="shared" ref="AT90:AT101" si="50">ROUND(SUM(AP90:AR90),5)</f>
        <v>9996.39</v>
      </c>
      <c r="AU90" s="211"/>
      <c r="AV90" s="210">
        <v>0</v>
      </c>
      <c r="AW90" s="211"/>
      <c r="AX90" s="210">
        <v>2165.52</v>
      </c>
      <c r="AY90" s="211"/>
      <c r="AZ90" s="210">
        <v>2358.8200000000002</v>
      </c>
      <c r="BA90" s="211"/>
      <c r="BB90" s="210">
        <v>6852.76</v>
      </c>
      <c r="BC90" s="211"/>
      <c r="BD90" s="210">
        <v>36.01</v>
      </c>
      <c r="BE90" s="211"/>
      <c r="BF90" s="210">
        <v>0</v>
      </c>
      <c r="BG90" s="211"/>
      <c r="BH90" s="210">
        <f t="shared" ref="BH90:BH101" si="51">ROUND(SUM(AV90:BF90),5)</f>
        <v>11413.11</v>
      </c>
      <c r="BI90" s="211"/>
      <c r="BJ90" s="210">
        <v>0</v>
      </c>
      <c r="BK90" s="211"/>
      <c r="BL90" s="210">
        <f t="shared" ref="BL90:BL101" si="52">BJ90</f>
        <v>0</v>
      </c>
      <c r="BM90" s="211"/>
      <c r="BN90" s="210">
        <v>5350.05</v>
      </c>
      <c r="BO90" s="211"/>
      <c r="BP90" s="210">
        <v>0</v>
      </c>
      <c r="BQ90" s="211"/>
      <c r="BR90" s="210">
        <f t="shared" ref="BR90:BR101" si="53">ROUND(SUM(BN90:BP90),5)</f>
        <v>5350.05</v>
      </c>
      <c r="BS90" s="211"/>
      <c r="BT90" s="210">
        <v>2032.43</v>
      </c>
      <c r="BU90" s="211"/>
      <c r="BV90" s="210">
        <v>1059.2</v>
      </c>
      <c r="BW90" s="211"/>
      <c r="BX90" s="210">
        <v>0</v>
      </c>
      <c r="BY90" s="211"/>
      <c r="BZ90" s="210">
        <v>0</v>
      </c>
      <c r="CA90" s="211"/>
      <c r="CB90" s="210">
        <v>0</v>
      </c>
      <c r="CC90" s="211"/>
      <c r="CD90" s="210">
        <f t="shared" ref="CD90:CD101" si="54">ROUND(BH90+BL90+SUM(BR90:CB90),5)</f>
        <v>19854.79</v>
      </c>
      <c r="CE90" s="211"/>
      <c r="CF90" s="210">
        <v>0</v>
      </c>
      <c r="CG90" s="211"/>
      <c r="CH90" s="210">
        <f t="shared" ref="CH90:CH101" si="55">ROUND(SUM(H90:N90)+SUM(T90:V90)+AN90+AT90+SUM(CD90:CF90),5)</f>
        <v>33293.97</v>
      </c>
    </row>
    <row r="91" spans="1:86">
      <c r="A91" s="209"/>
      <c r="B91" s="209"/>
      <c r="C91" s="209"/>
      <c r="D91" s="209"/>
      <c r="E91" s="209"/>
      <c r="F91" s="209"/>
      <c r="G91" s="209" t="s">
        <v>133</v>
      </c>
      <c r="H91" s="210">
        <v>0</v>
      </c>
      <c r="I91" s="211"/>
      <c r="J91" s="210">
        <v>0</v>
      </c>
      <c r="K91" s="211"/>
      <c r="L91" s="210">
        <v>0</v>
      </c>
      <c r="M91" s="211"/>
      <c r="N91" s="210">
        <v>0</v>
      </c>
      <c r="O91" s="211"/>
      <c r="P91" s="210">
        <v>0</v>
      </c>
      <c r="Q91" s="211"/>
      <c r="R91" s="210">
        <v>0</v>
      </c>
      <c r="S91" s="211"/>
      <c r="T91" s="210">
        <f t="shared" si="48"/>
        <v>0</v>
      </c>
      <c r="U91" s="211"/>
      <c r="V91" s="210">
        <v>0</v>
      </c>
      <c r="W91" s="211"/>
      <c r="X91" s="210">
        <v>0</v>
      </c>
      <c r="Y91" s="211"/>
      <c r="Z91" s="210">
        <v>0</v>
      </c>
      <c r="AA91" s="211"/>
      <c r="AB91" s="210">
        <v>0</v>
      </c>
      <c r="AC91" s="211"/>
      <c r="AD91" s="210">
        <v>0</v>
      </c>
      <c r="AE91" s="211"/>
      <c r="AF91" s="210">
        <v>402.7</v>
      </c>
      <c r="AG91" s="211"/>
      <c r="AH91" s="210">
        <v>341.76</v>
      </c>
      <c r="AI91" s="211"/>
      <c r="AJ91" s="210">
        <v>227.67</v>
      </c>
      <c r="AK91" s="211"/>
      <c r="AL91" s="210">
        <v>0</v>
      </c>
      <c r="AM91" s="211"/>
      <c r="AN91" s="210">
        <f t="shared" si="49"/>
        <v>972.13</v>
      </c>
      <c r="AO91" s="211"/>
      <c r="AP91" s="210">
        <v>462.48</v>
      </c>
      <c r="AQ91" s="211"/>
      <c r="AR91" s="210">
        <v>0</v>
      </c>
      <c r="AS91" s="211"/>
      <c r="AT91" s="210">
        <f t="shared" si="50"/>
        <v>462.48</v>
      </c>
      <c r="AU91" s="211"/>
      <c r="AV91" s="210">
        <v>6.7</v>
      </c>
      <c r="AW91" s="211"/>
      <c r="AX91" s="210">
        <v>1850</v>
      </c>
      <c r="AY91" s="211"/>
      <c r="AZ91" s="210">
        <v>3208.36</v>
      </c>
      <c r="BA91" s="211"/>
      <c r="BB91" s="210">
        <v>12967.01</v>
      </c>
      <c r="BC91" s="211"/>
      <c r="BD91" s="210">
        <v>101.66</v>
      </c>
      <c r="BE91" s="211"/>
      <c r="BF91" s="210">
        <v>0</v>
      </c>
      <c r="BG91" s="211"/>
      <c r="BH91" s="210">
        <f t="shared" si="51"/>
        <v>18133.73</v>
      </c>
      <c r="BI91" s="211"/>
      <c r="BJ91" s="210">
        <v>0</v>
      </c>
      <c r="BK91" s="211"/>
      <c r="BL91" s="210">
        <f t="shared" si="52"/>
        <v>0</v>
      </c>
      <c r="BM91" s="211"/>
      <c r="BN91" s="210">
        <v>4344.95</v>
      </c>
      <c r="BO91" s="211"/>
      <c r="BP91" s="210">
        <v>0</v>
      </c>
      <c r="BQ91" s="211"/>
      <c r="BR91" s="210">
        <f t="shared" si="53"/>
        <v>4344.95</v>
      </c>
      <c r="BS91" s="211"/>
      <c r="BT91" s="210">
        <v>421.67</v>
      </c>
      <c r="BU91" s="211"/>
      <c r="BV91" s="210">
        <v>0</v>
      </c>
      <c r="BW91" s="211"/>
      <c r="BX91" s="210">
        <v>0</v>
      </c>
      <c r="BY91" s="211"/>
      <c r="BZ91" s="210">
        <v>0</v>
      </c>
      <c r="CA91" s="211"/>
      <c r="CB91" s="210">
        <v>0</v>
      </c>
      <c r="CC91" s="211"/>
      <c r="CD91" s="210">
        <f t="shared" si="54"/>
        <v>22900.35</v>
      </c>
      <c r="CE91" s="211"/>
      <c r="CF91" s="210">
        <v>0</v>
      </c>
      <c r="CG91" s="211"/>
      <c r="CH91" s="210">
        <f t="shared" si="55"/>
        <v>24334.959999999999</v>
      </c>
    </row>
    <row r="92" spans="1:86" ht="15" thickBot="1">
      <c r="A92" s="209"/>
      <c r="B92" s="209"/>
      <c r="C92" s="209"/>
      <c r="D92" s="209"/>
      <c r="E92" s="209"/>
      <c r="F92" s="209"/>
      <c r="G92" s="209" t="s">
        <v>134</v>
      </c>
      <c r="H92" s="214">
        <v>0</v>
      </c>
      <c r="I92" s="211"/>
      <c r="J92" s="214">
        <v>0</v>
      </c>
      <c r="K92" s="211"/>
      <c r="L92" s="214">
        <v>0</v>
      </c>
      <c r="M92" s="211"/>
      <c r="N92" s="214">
        <v>0</v>
      </c>
      <c r="O92" s="211"/>
      <c r="P92" s="214">
        <v>0</v>
      </c>
      <c r="Q92" s="211"/>
      <c r="R92" s="214">
        <v>0</v>
      </c>
      <c r="S92" s="211"/>
      <c r="T92" s="214">
        <f t="shared" si="48"/>
        <v>0</v>
      </c>
      <c r="U92" s="211"/>
      <c r="V92" s="214">
        <v>0</v>
      </c>
      <c r="W92" s="211"/>
      <c r="X92" s="214">
        <v>0</v>
      </c>
      <c r="Y92" s="211"/>
      <c r="Z92" s="214">
        <v>0</v>
      </c>
      <c r="AA92" s="211"/>
      <c r="AB92" s="214">
        <v>0</v>
      </c>
      <c r="AC92" s="211"/>
      <c r="AD92" s="214">
        <v>0</v>
      </c>
      <c r="AE92" s="211"/>
      <c r="AF92" s="214">
        <v>0</v>
      </c>
      <c r="AG92" s="211"/>
      <c r="AH92" s="214">
        <v>0</v>
      </c>
      <c r="AI92" s="211"/>
      <c r="AJ92" s="214">
        <v>0</v>
      </c>
      <c r="AK92" s="211"/>
      <c r="AL92" s="214">
        <v>0</v>
      </c>
      <c r="AM92" s="211"/>
      <c r="AN92" s="214">
        <f t="shared" si="49"/>
        <v>0</v>
      </c>
      <c r="AO92" s="211"/>
      <c r="AP92" s="214">
        <v>376.64</v>
      </c>
      <c r="AQ92" s="211"/>
      <c r="AR92" s="214">
        <v>0</v>
      </c>
      <c r="AS92" s="211"/>
      <c r="AT92" s="214">
        <f t="shared" si="50"/>
        <v>376.64</v>
      </c>
      <c r="AU92" s="211"/>
      <c r="AV92" s="214">
        <v>0</v>
      </c>
      <c r="AW92" s="211"/>
      <c r="AX92" s="214">
        <v>0</v>
      </c>
      <c r="AY92" s="211"/>
      <c r="AZ92" s="214">
        <v>0</v>
      </c>
      <c r="BA92" s="211"/>
      <c r="BB92" s="214">
        <v>0</v>
      </c>
      <c r="BC92" s="211"/>
      <c r="BD92" s="214">
        <v>0</v>
      </c>
      <c r="BE92" s="211"/>
      <c r="BF92" s="214">
        <v>0</v>
      </c>
      <c r="BG92" s="211"/>
      <c r="BH92" s="214">
        <f t="shared" si="51"/>
        <v>0</v>
      </c>
      <c r="BI92" s="211"/>
      <c r="BJ92" s="214">
        <v>0</v>
      </c>
      <c r="BK92" s="211"/>
      <c r="BL92" s="214">
        <f t="shared" si="52"/>
        <v>0</v>
      </c>
      <c r="BM92" s="211"/>
      <c r="BN92" s="214">
        <v>506.56</v>
      </c>
      <c r="BO92" s="211"/>
      <c r="BP92" s="214">
        <v>0</v>
      </c>
      <c r="BQ92" s="211"/>
      <c r="BR92" s="214">
        <f t="shared" si="53"/>
        <v>506.56</v>
      </c>
      <c r="BS92" s="211"/>
      <c r="BT92" s="214">
        <v>0</v>
      </c>
      <c r="BU92" s="211"/>
      <c r="BV92" s="214">
        <v>0</v>
      </c>
      <c r="BW92" s="211"/>
      <c r="BX92" s="214">
        <v>0</v>
      </c>
      <c r="BY92" s="211"/>
      <c r="BZ92" s="214">
        <v>0</v>
      </c>
      <c r="CA92" s="211"/>
      <c r="CB92" s="214">
        <v>0</v>
      </c>
      <c r="CC92" s="211"/>
      <c r="CD92" s="214">
        <f t="shared" si="54"/>
        <v>506.56</v>
      </c>
      <c r="CE92" s="211"/>
      <c r="CF92" s="214">
        <v>0</v>
      </c>
      <c r="CG92" s="211"/>
      <c r="CH92" s="214">
        <f t="shared" si="55"/>
        <v>883.2</v>
      </c>
    </row>
    <row r="93" spans="1:86" ht="15" thickBot="1">
      <c r="A93" s="209"/>
      <c r="B93" s="209"/>
      <c r="C93" s="209"/>
      <c r="D93" s="209"/>
      <c r="E93" s="209"/>
      <c r="F93" s="209" t="s">
        <v>135</v>
      </c>
      <c r="G93" s="209"/>
      <c r="H93" s="221">
        <f>ROUND(SUM(H89:H92),5)</f>
        <v>0</v>
      </c>
      <c r="I93" s="211"/>
      <c r="J93" s="221">
        <f>ROUND(SUM(J89:J92),5)</f>
        <v>0</v>
      </c>
      <c r="K93" s="211"/>
      <c r="L93" s="221">
        <f>ROUND(SUM(L89:L92),5)</f>
        <v>0</v>
      </c>
      <c r="M93" s="211"/>
      <c r="N93" s="221">
        <f>ROUND(SUM(N89:N92),5)</f>
        <v>0</v>
      </c>
      <c r="O93" s="211"/>
      <c r="P93" s="221">
        <f>ROUND(SUM(P89:P92),5)</f>
        <v>0</v>
      </c>
      <c r="Q93" s="211"/>
      <c r="R93" s="221">
        <f>ROUND(SUM(R89:R92),5)</f>
        <v>0</v>
      </c>
      <c r="S93" s="211"/>
      <c r="T93" s="221">
        <f t="shared" si="48"/>
        <v>0</v>
      </c>
      <c r="U93" s="211"/>
      <c r="V93" s="221">
        <f>ROUND(SUM(V89:V92),5)</f>
        <v>0</v>
      </c>
      <c r="W93" s="211"/>
      <c r="X93" s="221">
        <f>ROUND(SUM(X89:X92),5)</f>
        <v>0</v>
      </c>
      <c r="Y93" s="211"/>
      <c r="Z93" s="221">
        <f>ROUND(SUM(Z89:Z92),5)</f>
        <v>0</v>
      </c>
      <c r="AA93" s="211"/>
      <c r="AB93" s="221">
        <f>ROUND(SUM(AB89:AB92),5)</f>
        <v>0</v>
      </c>
      <c r="AC93" s="211"/>
      <c r="AD93" s="221">
        <f>ROUND(SUM(AD89:AD92),5)</f>
        <v>0</v>
      </c>
      <c r="AE93" s="211"/>
      <c r="AF93" s="221">
        <f>ROUND(SUM(AF89:AF92),5)</f>
        <v>549.89</v>
      </c>
      <c r="AG93" s="211"/>
      <c r="AH93" s="221">
        <f>ROUND(SUM(AH89:AH92),5)</f>
        <v>3637.36</v>
      </c>
      <c r="AI93" s="211"/>
      <c r="AJ93" s="221">
        <f>ROUND(SUM(AJ89:AJ92),5)</f>
        <v>227.67</v>
      </c>
      <c r="AK93" s="211"/>
      <c r="AL93" s="221">
        <f>ROUND(SUM(AL89:AL92),5)</f>
        <v>0</v>
      </c>
      <c r="AM93" s="211"/>
      <c r="AN93" s="221">
        <f t="shared" si="49"/>
        <v>4414.92</v>
      </c>
      <c r="AO93" s="211"/>
      <c r="AP93" s="221">
        <f>ROUND(SUM(AP89:AP92),5)</f>
        <v>10835.51</v>
      </c>
      <c r="AQ93" s="211"/>
      <c r="AR93" s="221">
        <f>ROUND(SUM(AR89:AR92),5)</f>
        <v>0</v>
      </c>
      <c r="AS93" s="211"/>
      <c r="AT93" s="221">
        <f t="shared" si="50"/>
        <v>10835.51</v>
      </c>
      <c r="AU93" s="211"/>
      <c r="AV93" s="221">
        <f>ROUND(SUM(AV89:AV92),5)</f>
        <v>6.7</v>
      </c>
      <c r="AW93" s="211"/>
      <c r="AX93" s="221">
        <f>ROUND(SUM(AX89:AX92),5)</f>
        <v>4015.52</v>
      </c>
      <c r="AY93" s="211"/>
      <c r="AZ93" s="221">
        <f>ROUND(SUM(AZ89:AZ92),5)</f>
        <v>5567.18</v>
      </c>
      <c r="BA93" s="211"/>
      <c r="BB93" s="221">
        <f>ROUND(SUM(BB89:BB92),5)</f>
        <v>19819.77</v>
      </c>
      <c r="BC93" s="211"/>
      <c r="BD93" s="221">
        <f>ROUND(SUM(BD89:BD92),5)</f>
        <v>137.66999999999999</v>
      </c>
      <c r="BE93" s="211"/>
      <c r="BF93" s="221">
        <f>ROUND(SUM(BF89:BF92),5)</f>
        <v>0</v>
      </c>
      <c r="BG93" s="211"/>
      <c r="BH93" s="221">
        <f t="shared" si="51"/>
        <v>29546.84</v>
      </c>
      <c r="BI93" s="211"/>
      <c r="BJ93" s="221">
        <f>ROUND(SUM(BJ89:BJ92),5)</f>
        <v>0</v>
      </c>
      <c r="BK93" s="211"/>
      <c r="BL93" s="221">
        <f t="shared" si="52"/>
        <v>0</v>
      </c>
      <c r="BM93" s="211"/>
      <c r="BN93" s="221">
        <f>ROUND(SUM(BN89:BN92),5)</f>
        <v>10201.56</v>
      </c>
      <c r="BO93" s="211"/>
      <c r="BP93" s="221">
        <f>ROUND(SUM(BP89:BP92),5)</f>
        <v>0</v>
      </c>
      <c r="BQ93" s="211"/>
      <c r="BR93" s="221">
        <f t="shared" si="53"/>
        <v>10201.56</v>
      </c>
      <c r="BS93" s="211"/>
      <c r="BT93" s="221">
        <f>ROUND(SUM(BT89:BT92),5)</f>
        <v>2454.1</v>
      </c>
      <c r="BU93" s="211"/>
      <c r="BV93" s="221">
        <f>ROUND(SUM(BV89:BV92),5)</f>
        <v>1059.2</v>
      </c>
      <c r="BW93" s="211"/>
      <c r="BX93" s="221">
        <f>ROUND(SUM(BX89:BX92),5)</f>
        <v>0</v>
      </c>
      <c r="BY93" s="211"/>
      <c r="BZ93" s="221">
        <f>ROUND(SUM(BZ89:BZ92),5)</f>
        <v>0</v>
      </c>
      <c r="CA93" s="211"/>
      <c r="CB93" s="221">
        <f>ROUND(SUM(CB89:CB92),5)</f>
        <v>0</v>
      </c>
      <c r="CC93" s="211"/>
      <c r="CD93" s="221">
        <f t="shared" si="54"/>
        <v>43261.7</v>
      </c>
      <c r="CE93" s="211"/>
      <c r="CF93" s="221">
        <f>ROUND(SUM(CF89:CF92),5)</f>
        <v>0</v>
      </c>
      <c r="CG93" s="211"/>
      <c r="CH93" s="221">
        <f t="shared" si="55"/>
        <v>58512.13</v>
      </c>
    </row>
    <row r="94" spans="1:86">
      <c r="A94" s="209"/>
      <c r="B94" s="209"/>
      <c r="C94" s="209"/>
      <c r="D94" s="209"/>
      <c r="E94" s="209" t="s">
        <v>136</v>
      </c>
      <c r="F94" s="209"/>
      <c r="G94" s="209"/>
      <c r="H94" s="210">
        <f>ROUND(H88+H93,5)</f>
        <v>0</v>
      </c>
      <c r="I94" s="211"/>
      <c r="J94" s="210">
        <f>ROUND(J88+J93,5)</f>
        <v>0</v>
      </c>
      <c r="K94" s="211"/>
      <c r="L94" s="210">
        <f>ROUND(L88+L93,5)</f>
        <v>0</v>
      </c>
      <c r="M94" s="211"/>
      <c r="N94" s="210">
        <f>ROUND(N88+N93,5)</f>
        <v>0</v>
      </c>
      <c r="O94" s="211"/>
      <c r="P94" s="210">
        <f>ROUND(P88+P93,5)</f>
        <v>0</v>
      </c>
      <c r="Q94" s="211"/>
      <c r="R94" s="210">
        <f>ROUND(R88+R93,5)</f>
        <v>0</v>
      </c>
      <c r="S94" s="211"/>
      <c r="T94" s="210">
        <f t="shared" si="48"/>
        <v>0</v>
      </c>
      <c r="U94" s="211"/>
      <c r="V94" s="210">
        <f>ROUND(V88+V93,5)</f>
        <v>0</v>
      </c>
      <c r="W94" s="211"/>
      <c r="X94" s="210">
        <f>ROUND(X88+X93,5)</f>
        <v>0</v>
      </c>
      <c r="Y94" s="211"/>
      <c r="Z94" s="210">
        <f>ROUND(Z88+Z93,5)</f>
        <v>0</v>
      </c>
      <c r="AA94" s="211"/>
      <c r="AB94" s="210">
        <f>ROUND(AB88+AB93,5)</f>
        <v>0</v>
      </c>
      <c r="AC94" s="211"/>
      <c r="AD94" s="210">
        <f>ROUND(AD88+AD93,5)</f>
        <v>0</v>
      </c>
      <c r="AE94" s="211"/>
      <c r="AF94" s="210">
        <f>ROUND(AF88+AF93,5)</f>
        <v>549.89</v>
      </c>
      <c r="AG94" s="211"/>
      <c r="AH94" s="210">
        <f>ROUND(AH88+AH93,5)</f>
        <v>3637.36</v>
      </c>
      <c r="AI94" s="211"/>
      <c r="AJ94" s="210">
        <f>ROUND(AJ88+AJ93,5)</f>
        <v>227.67</v>
      </c>
      <c r="AK94" s="211"/>
      <c r="AL94" s="210">
        <f>ROUND(AL88+AL93,5)</f>
        <v>0</v>
      </c>
      <c r="AM94" s="211"/>
      <c r="AN94" s="210">
        <f t="shared" si="49"/>
        <v>4414.92</v>
      </c>
      <c r="AO94" s="211"/>
      <c r="AP94" s="210">
        <f>ROUND(AP88+AP93,5)</f>
        <v>10835.51</v>
      </c>
      <c r="AQ94" s="211"/>
      <c r="AR94" s="210">
        <f>ROUND(AR88+AR93,5)</f>
        <v>0</v>
      </c>
      <c r="AS94" s="211"/>
      <c r="AT94" s="210">
        <f t="shared" si="50"/>
        <v>10835.51</v>
      </c>
      <c r="AU94" s="211"/>
      <c r="AV94" s="210">
        <f>ROUND(AV88+AV93,5)</f>
        <v>6.7</v>
      </c>
      <c r="AW94" s="211"/>
      <c r="AX94" s="210">
        <f>ROUND(AX88+AX93,5)</f>
        <v>4015.52</v>
      </c>
      <c r="AY94" s="211"/>
      <c r="AZ94" s="210">
        <f>ROUND(AZ88+AZ93,5)</f>
        <v>5567.18</v>
      </c>
      <c r="BA94" s="211"/>
      <c r="BB94" s="210">
        <f>ROUND(BB88+BB93,5)</f>
        <v>19819.77</v>
      </c>
      <c r="BC94" s="211"/>
      <c r="BD94" s="210">
        <f>ROUND(BD88+BD93,5)</f>
        <v>137.66999999999999</v>
      </c>
      <c r="BE94" s="211"/>
      <c r="BF94" s="210">
        <f>ROUND(BF88+BF93,5)</f>
        <v>0</v>
      </c>
      <c r="BG94" s="211"/>
      <c r="BH94" s="210">
        <f t="shared" si="51"/>
        <v>29546.84</v>
      </c>
      <c r="BI94" s="211"/>
      <c r="BJ94" s="210">
        <f>ROUND(BJ88+BJ93,5)</f>
        <v>0</v>
      </c>
      <c r="BK94" s="211"/>
      <c r="BL94" s="210">
        <f t="shared" si="52"/>
        <v>0</v>
      </c>
      <c r="BM94" s="211"/>
      <c r="BN94" s="210">
        <f>ROUND(BN88+BN93,5)</f>
        <v>10201.56</v>
      </c>
      <c r="BO94" s="211"/>
      <c r="BP94" s="210">
        <f>ROUND(BP88+BP93,5)</f>
        <v>0</v>
      </c>
      <c r="BQ94" s="211"/>
      <c r="BR94" s="210">
        <f t="shared" si="53"/>
        <v>10201.56</v>
      </c>
      <c r="BS94" s="211"/>
      <c r="BT94" s="210">
        <f>ROUND(BT88+BT93,5)</f>
        <v>2454.1</v>
      </c>
      <c r="BU94" s="211"/>
      <c r="BV94" s="210">
        <f>ROUND(BV88+BV93,5)</f>
        <v>1059.2</v>
      </c>
      <c r="BW94" s="211"/>
      <c r="BX94" s="210">
        <f>ROUND(BX88+BX93,5)</f>
        <v>0</v>
      </c>
      <c r="BY94" s="211"/>
      <c r="BZ94" s="210">
        <f>ROUND(BZ88+BZ93,5)</f>
        <v>0</v>
      </c>
      <c r="CA94" s="211"/>
      <c r="CB94" s="210">
        <f>ROUND(CB88+CB93,5)</f>
        <v>0</v>
      </c>
      <c r="CC94" s="211"/>
      <c r="CD94" s="210">
        <f t="shared" si="54"/>
        <v>43261.7</v>
      </c>
      <c r="CE94" s="211"/>
      <c r="CF94" s="210">
        <f>ROUND(CF88+CF93,5)</f>
        <v>0</v>
      </c>
      <c r="CG94" s="211"/>
      <c r="CH94" s="210">
        <f t="shared" si="55"/>
        <v>58512.13</v>
      </c>
    </row>
    <row r="95" spans="1:86">
      <c r="A95" s="209"/>
      <c r="B95" s="209"/>
      <c r="C95" s="209"/>
      <c r="D95" s="209"/>
      <c r="E95" s="209" t="s">
        <v>390</v>
      </c>
      <c r="F95" s="209"/>
      <c r="G95" s="209"/>
      <c r="H95" s="210">
        <v>0</v>
      </c>
      <c r="I95" s="211"/>
      <c r="J95" s="210">
        <v>0</v>
      </c>
      <c r="K95" s="211"/>
      <c r="L95" s="210">
        <v>0</v>
      </c>
      <c r="M95" s="211"/>
      <c r="N95" s="210">
        <v>0</v>
      </c>
      <c r="O95" s="211"/>
      <c r="P95" s="210">
        <v>0</v>
      </c>
      <c r="Q95" s="211"/>
      <c r="R95" s="210">
        <v>0</v>
      </c>
      <c r="S95" s="211"/>
      <c r="T95" s="210">
        <f t="shared" si="48"/>
        <v>0</v>
      </c>
      <c r="U95" s="211"/>
      <c r="V95" s="210">
        <v>0</v>
      </c>
      <c r="W95" s="211"/>
      <c r="X95" s="210">
        <v>0</v>
      </c>
      <c r="Y95" s="211"/>
      <c r="Z95" s="210">
        <v>0</v>
      </c>
      <c r="AA95" s="211"/>
      <c r="AB95" s="210">
        <v>104.54</v>
      </c>
      <c r="AC95" s="211"/>
      <c r="AD95" s="210">
        <v>163.34</v>
      </c>
      <c r="AE95" s="211"/>
      <c r="AF95" s="210">
        <v>79.709999999999994</v>
      </c>
      <c r="AG95" s="211"/>
      <c r="AH95" s="210">
        <v>0</v>
      </c>
      <c r="AI95" s="211"/>
      <c r="AJ95" s="210">
        <v>0</v>
      </c>
      <c r="AK95" s="211"/>
      <c r="AL95" s="210">
        <v>16.72</v>
      </c>
      <c r="AM95" s="211"/>
      <c r="AN95" s="210">
        <f t="shared" si="49"/>
        <v>364.31</v>
      </c>
      <c r="AO95" s="211"/>
      <c r="AP95" s="210">
        <v>0</v>
      </c>
      <c r="AQ95" s="211"/>
      <c r="AR95" s="210">
        <v>0</v>
      </c>
      <c r="AS95" s="211"/>
      <c r="AT95" s="210">
        <f t="shared" si="50"/>
        <v>0</v>
      </c>
      <c r="AU95" s="211"/>
      <c r="AV95" s="210">
        <v>0</v>
      </c>
      <c r="AW95" s="211"/>
      <c r="AX95" s="210">
        <v>219.71</v>
      </c>
      <c r="AY95" s="211"/>
      <c r="AZ95" s="210">
        <v>247.63</v>
      </c>
      <c r="BA95" s="211"/>
      <c r="BB95" s="210">
        <v>4227.9799999999996</v>
      </c>
      <c r="BC95" s="211"/>
      <c r="BD95" s="210">
        <v>0</v>
      </c>
      <c r="BE95" s="211"/>
      <c r="BF95" s="210">
        <v>0</v>
      </c>
      <c r="BG95" s="211"/>
      <c r="BH95" s="210">
        <f t="shared" si="51"/>
        <v>4695.32</v>
      </c>
      <c r="BI95" s="211"/>
      <c r="BJ95" s="210">
        <v>0</v>
      </c>
      <c r="BK95" s="211"/>
      <c r="BL95" s="210">
        <f t="shared" si="52"/>
        <v>0</v>
      </c>
      <c r="BM95" s="211"/>
      <c r="BN95" s="210">
        <v>0</v>
      </c>
      <c r="BO95" s="211"/>
      <c r="BP95" s="210">
        <v>0</v>
      </c>
      <c r="BQ95" s="211"/>
      <c r="BR95" s="210">
        <f t="shared" si="53"/>
        <v>0</v>
      </c>
      <c r="BS95" s="211"/>
      <c r="BT95" s="210">
        <v>0</v>
      </c>
      <c r="BU95" s="211"/>
      <c r="BV95" s="210">
        <v>0</v>
      </c>
      <c r="BW95" s="211"/>
      <c r="BX95" s="210">
        <v>0</v>
      </c>
      <c r="BY95" s="211"/>
      <c r="BZ95" s="210">
        <v>0</v>
      </c>
      <c r="CA95" s="211"/>
      <c r="CB95" s="210">
        <v>0</v>
      </c>
      <c r="CC95" s="211"/>
      <c r="CD95" s="210">
        <f t="shared" si="54"/>
        <v>4695.32</v>
      </c>
      <c r="CE95" s="211"/>
      <c r="CF95" s="210">
        <v>0</v>
      </c>
      <c r="CG95" s="211"/>
      <c r="CH95" s="210">
        <f t="shared" si="55"/>
        <v>5059.63</v>
      </c>
    </row>
    <row r="96" spans="1:86">
      <c r="A96" s="209"/>
      <c r="B96" s="209"/>
      <c r="C96" s="209"/>
      <c r="D96" s="209"/>
      <c r="E96" s="209" t="s">
        <v>391</v>
      </c>
      <c r="F96" s="209"/>
      <c r="G96" s="209"/>
      <c r="H96" s="210">
        <v>0</v>
      </c>
      <c r="I96" s="211"/>
      <c r="J96" s="210">
        <v>0</v>
      </c>
      <c r="K96" s="211"/>
      <c r="L96" s="210">
        <v>0</v>
      </c>
      <c r="M96" s="211"/>
      <c r="N96" s="210">
        <v>0</v>
      </c>
      <c r="O96" s="211"/>
      <c r="P96" s="210">
        <v>0</v>
      </c>
      <c r="Q96" s="211"/>
      <c r="R96" s="210">
        <v>0</v>
      </c>
      <c r="S96" s="211"/>
      <c r="T96" s="210">
        <f t="shared" si="48"/>
        <v>0</v>
      </c>
      <c r="U96" s="211"/>
      <c r="V96" s="210">
        <v>0</v>
      </c>
      <c r="W96" s="211"/>
      <c r="X96" s="210">
        <v>0</v>
      </c>
      <c r="Y96" s="211"/>
      <c r="Z96" s="210">
        <v>0</v>
      </c>
      <c r="AA96" s="211"/>
      <c r="AB96" s="210">
        <v>0</v>
      </c>
      <c r="AC96" s="211"/>
      <c r="AD96" s="210">
        <v>0</v>
      </c>
      <c r="AE96" s="211"/>
      <c r="AF96" s="210">
        <v>0</v>
      </c>
      <c r="AG96" s="211"/>
      <c r="AH96" s="210">
        <v>0</v>
      </c>
      <c r="AI96" s="211"/>
      <c r="AJ96" s="210">
        <v>0</v>
      </c>
      <c r="AK96" s="211"/>
      <c r="AL96" s="210">
        <v>0</v>
      </c>
      <c r="AM96" s="211"/>
      <c r="AN96" s="210">
        <f t="shared" si="49"/>
        <v>0</v>
      </c>
      <c r="AO96" s="211"/>
      <c r="AP96" s="210">
        <v>22</v>
      </c>
      <c r="AQ96" s="211"/>
      <c r="AR96" s="210">
        <v>0</v>
      </c>
      <c r="AS96" s="211"/>
      <c r="AT96" s="210">
        <f t="shared" si="50"/>
        <v>22</v>
      </c>
      <c r="AU96" s="211"/>
      <c r="AV96" s="210">
        <v>0</v>
      </c>
      <c r="AW96" s="211"/>
      <c r="AX96" s="210">
        <v>0</v>
      </c>
      <c r="AY96" s="211"/>
      <c r="AZ96" s="210">
        <v>0</v>
      </c>
      <c r="BA96" s="211"/>
      <c r="BB96" s="210">
        <v>0</v>
      </c>
      <c r="BC96" s="211"/>
      <c r="BD96" s="210">
        <v>0</v>
      </c>
      <c r="BE96" s="211"/>
      <c r="BF96" s="210">
        <v>0</v>
      </c>
      <c r="BG96" s="211"/>
      <c r="BH96" s="210">
        <f t="shared" si="51"/>
        <v>0</v>
      </c>
      <c r="BI96" s="211"/>
      <c r="BJ96" s="210">
        <v>0</v>
      </c>
      <c r="BK96" s="211"/>
      <c r="BL96" s="210">
        <f t="shared" si="52"/>
        <v>0</v>
      </c>
      <c r="BM96" s="211"/>
      <c r="BN96" s="210">
        <v>508.93</v>
      </c>
      <c r="BO96" s="211"/>
      <c r="BP96" s="210">
        <v>104.15</v>
      </c>
      <c r="BQ96" s="211"/>
      <c r="BR96" s="210">
        <f t="shared" si="53"/>
        <v>613.08000000000004</v>
      </c>
      <c r="BS96" s="211"/>
      <c r="BT96" s="210">
        <v>0</v>
      </c>
      <c r="BU96" s="211"/>
      <c r="BV96" s="210">
        <v>0</v>
      </c>
      <c r="BW96" s="211"/>
      <c r="BX96" s="210">
        <v>0</v>
      </c>
      <c r="BY96" s="211"/>
      <c r="BZ96" s="210">
        <v>0</v>
      </c>
      <c r="CA96" s="211"/>
      <c r="CB96" s="210">
        <v>0</v>
      </c>
      <c r="CC96" s="211"/>
      <c r="CD96" s="210">
        <f t="shared" si="54"/>
        <v>613.08000000000004</v>
      </c>
      <c r="CE96" s="211"/>
      <c r="CF96" s="210">
        <v>0</v>
      </c>
      <c r="CG96" s="211"/>
      <c r="CH96" s="210">
        <f t="shared" si="55"/>
        <v>635.08000000000004</v>
      </c>
    </row>
    <row r="97" spans="1:92">
      <c r="A97" s="209"/>
      <c r="B97" s="209"/>
      <c r="C97" s="209"/>
      <c r="D97" s="209"/>
      <c r="E97" s="209" t="s">
        <v>332</v>
      </c>
      <c r="F97" s="209"/>
      <c r="G97" s="209"/>
      <c r="H97" s="210">
        <v>0</v>
      </c>
      <c r="I97" s="211"/>
      <c r="J97" s="210">
        <v>0</v>
      </c>
      <c r="K97" s="211"/>
      <c r="L97" s="210">
        <v>0</v>
      </c>
      <c r="M97" s="211"/>
      <c r="N97" s="210">
        <v>0</v>
      </c>
      <c r="O97" s="211"/>
      <c r="P97" s="210">
        <v>0</v>
      </c>
      <c r="Q97" s="211"/>
      <c r="R97" s="210">
        <v>0</v>
      </c>
      <c r="S97" s="211"/>
      <c r="T97" s="210">
        <f t="shared" si="48"/>
        <v>0</v>
      </c>
      <c r="U97" s="211"/>
      <c r="V97" s="210">
        <v>0</v>
      </c>
      <c r="W97" s="211"/>
      <c r="X97" s="210">
        <v>0</v>
      </c>
      <c r="Y97" s="211"/>
      <c r="Z97" s="210">
        <v>0</v>
      </c>
      <c r="AA97" s="211"/>
      <c r="AB97" s="210">
        <v>0</v>
      </c>
      <c r="AC97" s="211"/>
      <c r="AD97" s="210">
        <v>0</v>
      </c>
      <c r="AE97" s="211"/>
      <c r="AF97" s="210">
        <v>0</v>
      </c>
      <c r="AG97" s="211"/>
      <c r="AH97" s="210">
        <v>0</v>
      </c>
      <c r="AI97" s="211"/>
      <c r="AJ97" s="210">
        <v>0</v>
      </c>
      <c r="AK97" s="211"/>
      <c r="AL97" s="210">
        <v>0</v>
      </c>
      <c r="AM97" s="211"/>
      <c r="AN97" s="210">
        <f t="shared" si="49"/>
        <v>0</v>
      </c>
      <c r="AO97" s="211"/>
      <c r="AP97" s="210">
        <v>0</v>
      </c>
      <c r="AQ97" s="211"/>
      <c r="AR97" s="210">
        <v>0</v>
      </c>
      <c r="AS97" s="211"/>
      <c r="AT97" s="210">
        <f t="shared" si="50"/>
        <v>0</v>
      </c>
      <c r="AU97" s="211"/>
      <c r="AV97" s="210">
        <v>0</v>
      </c>
      <c r="AW97" s="211"/>
      <c r="AX97" s="210">
        <v>0</v>
      </c>
      <c r="AY97" s="211"/>
      <c r="AZ97" s="210">
        <v>0</v>
      </c>
      <c r="BA97" s="211"/>
      <c r="BB97" s="210">
        <v>23.38</v>
      </c>
      <c r="BC97" s="211"/>
      <c r="BD97" s="210">
        <v>0</v>
      </c>
      <c r="BE97" s="211"/>
      <c r="BF97" s="210">
        <v>0</v>
      </c>
      <c r="BG97" s="211"/>
      <c r="BH97" s="210">
        <f t="shared" si="51"/>
        <v>23.38</v>
      </c>
      <c r="BI97" s="211"/>
      <c r="BJ97" s="210">
        <v>0</v>
      </c>
      <c r="BK97" s="211"/>
      <c r="BL97" s="210">
        <f t="shared" si="52"/>
        <v>0</v>
      </c>
      <c r="BM97" s="211"/>
      <c r="BN97" s="210">
        <v>0</v>
      </c>
      <c r="BO97" s="211"/>
      <c r="BP97" s="210">
        <v>0</v>
      </c>
      <c r="BQ97" s="211"/>
      <c r="BR97" s="210">
        <f t="shared" si="53"/>
        <v>0</v>
      </c>
      <c r="BS97" s="211"/>
      <c r="BT97" s="210">
        <v>131278.76</v>
      </c>
      <c r="BU97" s="211"/>
      <c r="BV97" s="210">
        <v>0</v>
      </c>
      <c r="BW97" s="211"/>
      <c r="BX97" s="210">
        <v>0</v>
      </c>
      <c r="BY97" s="211"/>
      <c r="BZ97" s="210">
        <v>0</v>
      </c>
      <c r="CA97" s="211"/>
      <c r="CB97" s="210">
        <v>0</v>
      </c>
      <c r="CC97" s="211"/>
      <c r="CD97" s="210">
        <f t="shared" si="54"/>
        <v>131302.14000000001</v>
      </c>
      <c r="CE97" s="211"/>
      <c r="CF97" s="210">
        <v>8663.08</v>
      </c>
      <c r="CG97" s="211"/>
      <c r="CH97" s="210">
        <f t="shared" si="55"/>
        <v>139965.22</v>
      </c>
    </row>
    <row r="98" spans="1:92">
      <c r="A98" s="209"/>
      <c r="B98" s="209"/>
      <c r="C98" s="209"/>
      <c r="D98" s="209"/>
      <c r="E98" s="209" t="s">
        <v>333</v>
      </c>
      <c r="F98" s="209"/>
      <c r="G98" s="209"/>
      <c r="H98" s="210">
        <v>0</v>
      </c>
      <c r="I98" s="211"/>
      <c r="J98" s="210">
        <v>0</v>
      </c>
      <c r="K98" s="211"/>
      <c r="L98" s="210">
        <v>0</v>
      </c>
      <c r="M98" s="211"/>
      <c r="N98" s="210">
        <v>0</v>
      </c>
      <c r="O98" s="211"/>
      <c r="P98" s="210">
        <v>0</v>
      </c>
      <c r="Q98" s="211"/>
      <c r="R98" s="210">
        <v>0</v>
      </c>
      <c r="S98" s="211"/>
      <c r="T98" s="210">
        <f t="shared" si="48"/>
        <v>0</v>
      </c>
      <c r="U98" s="211"/>
      <c r="V98" s="210">
        <v>0</v>
      </c>
      <c r="W98" s="211"/>
      <c r="X98" s="210">
        <v>0</v>
      </c>
      <c r="Y98" s="211"/>
      <c r="Z98" s="210">
        <v>0</v>
      </c>
      <c r="AA98" s="211"/>
      <c r="AB98" s="210">
        <v>0</v>
      </c>
      <c r="AC98" s="211"/>
      <c r="AD98" s="210">
        <v>0</v>
      </c>
      <c r="AE98" s="211"/>
      <c r="AF98" s="210">
        <v>1</v>
      </c>
      <c r="AG98" s="211"/>
      <c r="AH98" s="210">
        <v>0</v>
      </c>
      <c r="AI98" s="211"/>
      <c r="AJ98" s="210">
        <v>0</v>
      </c>
      <c r="AK98" s="211"/>
      <c r="AL98" s="210">
        <v>0</v>
      </c>
      <c r="AM98" s="211"/>
      <c r="AN98" s="210">
        <f t="shared" si="49"/>
        <v>1</v>
      </c>
      <c r="AO98" s="211"/>
      <c r="AP98" s="210">
        <v>9</v>
      </c>
      <c r="AQ98" s="211"/>
      <c r="AR98" s="210">
        <v>0</v>
      </c>
      <c r="AS98" s="211"/>
      <c r="AT98" s="210">
        <f t="shared" si="50"/>
        <v>9</v>
      </c>
      <c r="AU98" s="211"/>
      <c r="AV98" s="210">
        <v>0</v>
      </c>
      <c r="AW98" s="211"/>
      <c r="AX98" s="210">
        <v>6</v>
      </c>
      <c r="AY98" s="211"/>
      <c r="AZ98" s="210">
        <v>6.2</v>
      </c>
      <c r="BA98" s="211"/>
      <c r="BB98" s="210">
        <v>24</v>
      </c>
      <c r="BC98" s="211"/>
      <c r="BD98" s="210">
        <v>0</v>
      </c>
      <c r="BE98" s="211"/>
      <c r="BF98" s="210">
        <v>0</v>
      </c>
      <c r="BG98" s="211"/>
      <c r="BH98" s="210">
        <f t="shared" si="51"/>
        <v>36.200000000000003</v>
      </c>
      <c r="BI98" s="211"/>
      <c r="BJ98" s="210">
        <v>0</v>
      </c>
      <c r="BK98" s="211"/>
      <c r="BL98" s="210">
        <f t="shared" si="52"/>
        <v>0</v>
      </c>
      <c r="BM98" s="211"/>
      <c r="BN98" s="210">
        <v>7</v>
      </c>
      <c r="BO98" s="211"/>
      <c r="BP98" s="210">
        <v>0</v>
      </c>
      <c r="BQ98" s="211"/>
      <c r="BR98" s="210">
        <f t="shared" si="53"/>
        <v>7</v>
      </c>
      <c r="BS98" s="211"/>
      <c r="BT98" s="210">
        <v>27.49</v>
      </c>
      <c r="BU98" s="211"/>
      <c r="BV98" s="210">
        <v>0</v>
      </c>
      <c r="BW98" s="211"/>
      <c r="BX98" s="210">
        <v>0</v>
      </c>
      <c r="BY98" s="211"/>
      <c r="BZ98" s="210">
        <v>11.94</v>
      </c>
      <c r="CA98" s="211"/>
      <c r="CB98" s="210">
        <v>0</v>
      </c>
      <c r="CC98" s="211"/>
      <c r="CD98" s="210">
        <f t="shared" si="54"/>
        <v>82.63</v>
      </c>
      <c r="CE98" s="211"/>
      <c r="CF98" s="210">
        <v>0</v>
      </c>
      <c r="CG98" s="211"/>
      <c r="CH98" s="210">
        <f t="shared" si="55"/>
        <v>92.63</v>
      </c>
    </row>
    <row r="99" spans="1:92" ht="15" thickBot="1">
      <c r="A99" s="209"/>
      <c r="B99" s="209"/>
      <c r="C99" s="209"/>
      <c r="D99" s="209"/>
      <c r="E99" s="209" t="s">
        <v>334</v>
      </c>
      <c r="F99" s="209"/>
      <c r="G99" s="209"/>
      <c r="H99" s="214">
        <v>0</v>
      </c>
      <c r="I99" s="211"/>
      <c r="J99" s="214">
        <v>0</v>
      </c>
      <c r="K99" s="211"/>
      <c r="L99" s="214">
        <v>0</v>
      </c>
      <c r="M99" s="211"/>
      <c r="N99" s="214">
        <v>0</v>
      </c>
      <c r="O99" s="211"/>
      <c r="P99" s="214">
        <v>0</v>
      </c>
      <c r="Q99" s="211"/>
      <c r="R99" s="214">
        <v>0</v>
      </c>
      <c r="S99" s="211"/>
      <c r="T99" s="214">
        <f t="shared" si="48"/>
        <v>0</v>
      </c>
      <c r="U99" s="211"/>
      <c r="V99" s="214">
        <v>0</v>
      </c>
      <c r="W99" s="211"/>
      <c r="X99" s="214">
        <v>0</v>
      </c>
      <c r="Y99" s="211"/>
      <c r="Z99" s="214">
        <v>0</v>
      </c>
      <c r="AA99" s="211"/>
      <c r="AB99" s="214">
        <v>0</v>
      </c>
      <c r="AC99" s="211"/>
      <c r="AD99" s="214">
        <v>0</v>
      </c>
      <c r="AE99" s="211"/>
      <c r="AF99" s="214">
        <v>0</v>
      </c>
      <c r="AG99" s="211"/>
      <c r="AH99" s="214">
        <v>0</v>
      </c>
      <c r="AI99" s="211"/>
      <c r="AJ99" s="214">
        <v>0</v>
      </c>
      <c r="AK99" s="211"/>
      <c r="AL99" s="214">
        <v>0</v>
      </c>
      <c r="AM99" s="211"/>
      <c r="AN99" s="214">
        <f t="shared" si="49"/>
        <v>0</v>
      </c>
      <c r="AO99" s="211"/>
      <c r="AP99" s="214">
        <v>0</v>
      </c>
      <c r="AQ99" s="211"/>
      <c r="AR99" s="214">
        <v>0</v>
      </c>
      <c r="AS99" s="211"/>
      <c r="AT99" s="214">
        <f t="shared" si="50"/>
        <v>0</v>
      </c>
      <c r="AU99" s="211"/>
      <c r="AV99" s="214">
        <v>0</v>
      </c>
      <c r="AW99" s="211"/>
      <c r="AX99" s="214">
        <v>0</v>
      </c>
      <c r="AY99" s="211"/>
      <c r="AZ99" s="214">
        <v>0</v>
      </c>
      <c r="BA99" s="211"/>
      <c r="BB99" s="214">
        <v>0</v>
      </c>
      <c r="BC99" s="211"/>
      <c r="BD99" s="214">
        <v>0</v>
      </c>
      <c r="BE99" s="211"/>
      <c r="BF99" s="214">
        <v>0</v>
      </c>
      <c r="BG99" s="211"/>
      <c r="BH99" s="214">
        <f t="shared" si="51"/>
        <v>0</v>
      </c>
      <c r="BI99" s="211"/>
      <c r="BJ99" s="214">
        <v>0</v>
      </c>
      <c r="BK99" s="211"/>
      <c r="BL99" s="214">
        <f t="shared" si="52"/>
        <v>0</v>
      </c>
      <c r="BM99" s="211"/>
      <c r="BN99" s="214">
        <v>0</v>
      </c>
      <c r="BO99" s="211"/>
      <c r="BP99" s="214">
        <v>0</v>
      </c>
      <c r="BQ99" s="211"/>
      <c r="BR99" s="214">
        <f t="shared" si="53"/>
        <v>0</v>
      </c>
      <c r="BS99" s="211"/>
      <c r="BT99" s="214">
        <v>0</v>
      </c>
      <c r="BU99" s="211"/>
      <c r="BV99" s="214">
        <v>0</v>
      </c>
      <c r="BW99" s="211"/>
      <c r="BX99" s="214">
        <v>0</v>
      </c>
      <c r="BY99" s="211"/>
      <c r="BZ99" s="214">
        <v>0</v>
      </c>
      <c r="CA99" s="211"/>
      <c r="CB99" s="214">
        <v>0</v>
      </c>
      <c r="CC99" s="211"/>
      <c r="CD99" s="214">
        <f t="shared" si="54"/>
        <v>0</v>
      </c>
      <c r="CE99" s="211"/>
      <c r="CF99" s="214">
        <v>0</v>
      </c>
      <c r="CG99" s="211"/>
      <c r="CH99" s="214">
        <f t="shared" si="55"/>
        <v>0</v>
      </c>
    </row>
    <row r="100" spans="1:92" s="236" customFormat="1" ht="15" thickBot="1">
      <c r="A100" s="237"/>
      <c r="B100" s="237"/>
      <c r="C100" s="237" t="s">
        <v>214</v>
      </c>
      <c r="D100" s="237" t="s">
        <v>214</v>
      </c>
      <c r="E100" s="237" t="s">
        <v>214</v>
      </c>
      <c r="F100" s="237"/>
      <c r="G100" s="237"/>
      <c r="H100" s="316">
        <f>ROUND(SUM(H4:H7)+H14+H22+H33+H41+H87+SUM(H94:H99),5)</f>
        <v>0</v>
      </c>
      <c r="I100" s="317"/>
      <c r="J100" s="316">
        <f>ROUND(SUM(J4:J7)+J14+J22+J33+J41+J87+SUM(J94:J99),5)</f>
        <v>0</v>
      </c>
      <c r="K100" s="317"/>
      <c r="L100" s="316">
        <f>ROUND(SUM(L4:L7)+L14+L22+L33+L41+L87+SUM(L94:L99),5)</f>
        <v>0.01</v>
      </c>
      <c r="M100" s="317"/>
      <c r="N100" s="316">
        <f>ROUND(SUM(N4:N7)+N14+N22+N33+N41+N87+SUM(N94:N99),5)</f>
        <v>0</v>
      </c>
      <c r="O100" s="317"/>
      <c r="P100" s="316">
        <f>ROUND(SUM(P4:P7)+P14+P22+P33+P41+P87+SUM(P94:P99),5)</f>
        <v>6007957.9299999997</v>
      </c>
      <c r="Q100" s="317"/>
      <c r="R100" s="316">
        <f>ROUND(SUM(R4:R7)+R14+R22+R33+R41+R87+SUM(R94:R99),5)</f>
        <v>-3824062.61</v>
      </c>
      <c r="S100" s="317"/>
      <c r="T100" s="316">
        <f t="shared" si="48"/>
        <v>2183895.3199999998</v>
      </c>
      <c r="U100" s="317"/>
      <c r="V100" s="316">
        <f>ROUND(SUM(V4:V7)+V14+V22+V33+V41+V87+SUM(V94:V99),5)</f>
        <v>70201</v>
      </c>
      <c r="W100" s="317"/>
      <c r="X100" s="316">
        <f>ROUND(SUM(X4:X7)+X14+X22+X33+X41+X87+SUM(X94:X99),5)</f>
        <v>0</v>
      </c>
      <c r="Y100" s="317"/>
      <c r="Z100" s="316">
        <f>ROUND(SUM(Z4:Z7)+Z14+Z22+Z33+Z41+Z87+SUM(Z94:Z99),5)</f>
        <v>8997.7800000000007</v>
      </c>
      <c r="AA100" s="317"/>
      <c r="AB100" s="316">
        <f>ROUND(SUM(AB4:AB7)+AB14+AB22+AB33+AB41+AB87+SUM(AB94:AB99),5)</f>
        <v>605324.89</v>
      </c>
      <c r="AC100" s="317"/>
      <c r="AD100" s="316">
        <f>ROUND(SUM(AD4:AD7)+AD14+AD22+AD33+AD41+AD87+SUM(AD94:AD99),5)</f>
        <v>25685.95</v>
      </c>
      <c r="AE100" s="317"/>
      <c r="AF100" s="316">
        <f>ROUND(SUM(AF4:AF7)+AF14+AF22+AF33+AF41+AF87+SUM(AF94:AF99),5)</f>
        <v>948131.15</v>
      </c>
      <c r="AG100" s="317"/>
      <c r="AH100" s="316">
        <f>ROUND(SUM(AH4:AH7)+AH14+AH22+AH33+AH41+AH87+SUM(AH94:AH99),5)</f>
        <v>66398.7</v>
      </c>
      <c r="AI100" s="317"/>
      <c r="AJ100" s="316">
        <f>ROUND(SUM(AJ4:AJ7)+AJ14+AJ22+AJ33+AJ41+AJ87+SUM(AJ94:AJ99),5)</f>
        <v>7905.89</v>
      </c>
      <c r="AK100" s="317"/>
      <c r="AL100" s="316">
        <f>ROUND(SUM(AL4:AL7)+AL14+AL22+AL33+AL41+AL87+SUM(AL94:AL99),5)</f>
        <v>66284.47</v>
      </c>
      <c r="AM100" s="317"/>
      <c r="AN100" s="316">
        <f t="shared" si="49"/>
        <v>1728728.83</v>
      </c>
      <c r="AO100" s="317"/>
      <c r="AP100" s="316">
        <f>ROUND(SUM(AP4:AP7)+AP14+AP22+AP33+AP41+AP87+SUM(AP94:AP99),5)</f>
        <v>1136030.4099999999</v>
      </c>
      <c r="AQ100" s="317"/>
      <c r="AR100" s="316">
        <f>ROUND(SUM(AR4:AR7)+AR14+AR22+AR33+AR41+AR87+SUM(AR94:AR99),5)</f>
        <v>83227.960000000006</v>
      </c>
      <c r="AS100" s="317"/>
      <c r="AT100" s="316">
        <f t="shared" si="50"/>
        <v>1219258.3700000001</v>
      </c>
      <c r="AU100" s="317"/>
      <c r="AV100" s="316">
        <f>ROUND(SUM(AV4:AV7)+AV14+AV22+AV33+AV41+AV87+SUM(AV94:AV99),5)</f>
        <v>-2547.91</v>
      </c>
      <c r="AW100" s="317"/>
      <c r="AX100" s="316">
        <f>ROUND(SUM(AX4:AX7)+AX14+AX22+AX33+AX41+AX87+SUM(AX94:AX99),5)</f>
        <v>2227583.19</v>
      </c>
      <c r="AY100" s="317"/>
      <c r="AZ100" s="316">
        <f>ROUND(SUM(AZ4:AZ7)+AZ14+AZ22+AZ33+AZ41+AZ87+SUM(AZ94:AZ99),5)</f>
        <v>1244769.81</v>
      </c>
      <c r="BA100" s="317"/>
      <c r="BB100" s="316">
        <f>ROUND(SUM(BB4:BB7)+BB14+BB22+BB33+BB41+BB87+SUM(BB94:BB99),5)</f>
        <v>13252358.91</v>
      </c>
      <c r="BC100" s="317"/>
      <c r="BD100" s="316">
        <f>ROUND(SUM(BD4:BD7)+BD14+BD22+BD33+BD41+BD87+SUM(BD94:BD99),5)</f>
        <v>255286.68</v>
      </c>
      <c r="BE100" s="317"/>
      <c r="BF100" s="316">
        <f>ROUND(SUM(BF4:BF7)+BF14+BF22+BF33+BF41+BF87+SUM(BF94:BF99),5)</f>
        <v>0</v>
      </c>
      <c r="BG100" s="317"/>
      <c r="BH100" s="316">
        <f t="shared" si="51"/>
        <v>16977450.68</v>
      </c>
      <c r="BI100" s="317"/>
      <c r="BJ100" s="316">
        <f>ROUND(SUM(BJ4:BJ7)+BJ14+BJ22+BJ33+BJ41+BJ87+SUM(BJ94:BJ99),5)</f>
        <v>5295.25</v>
      </c>
      <c r="BK100" s="317"/>
      <c r="BL100" s="316">
        <f t="shared" si="52"/>
        <v>5295.25</v>
      </c>
      <c r="BM100" s="317"/>
      <c r="BN100" s="316">
        <f>ROUND(SUM(BN4:BN7)+BN14+BN22+BN33+BN41+BN87+SUM(BN94:BN99),5)</f>
        <v>2158110.38</v>
      </c>
      <c r="BO100" s="317"/>
      <c r="BP100" s="316">
        <f>ROUND(SUM(BP4:BP7)+BP14+BP22+BP33+BP41+BP87+SUM(BP94:BP99),5)</f>
        <v>1341905.32</v>
      </c>
      <c r="BQ100" s="317"/>
      <c r="BR100" s="316">
        <f t="shared" si="53"/>
        <v>3500015.7</v>
      </c>
      <c r="BS100" s="317"/>
      <c r="BT100" s="316">
        <f>ROUND(SUM(BT4:BT7)+BT14+BT22+BT33+BT41+BT87+SUM(BT94:BT99),5)</f>
        <v>1241355.57</v>
      </c>
      <c r="BU100" s="317"/>
      <c r="BV100" s="316">
        <f>ROUND(SUM(BV4:BV7)+BV14+BV22+BV33+BV41+BV87+SUM(BV94:BV99),5)</f>
        <v>11815.37</v>
      </c>
      <c r="BW100" s="317"/>
      <c r="BX100" s="316">
        <f>ROUND(SUM(BX4:BX7)+BX14+BX22+BX33+BX41+BX87+SUM(BX94:BX99),5)</f>
        <v>2490.8200000000002</v>
      </c>
      <c r="BY100" s="317"/>
      <c r="BZ100" s="316">
        <f>ROUND(SUM(BZ4:BZ7)+BZ14+BZ22+BZ33+BZ41+BZ87+SUM(BZ94:BZ99),5)</f>
        <v>-2150.7600000000002</v>
      </c>
      <c r="CA100" s="317"/>
      <c r="CB100" s="316">
        <f>ROUND(SUM(CB4:CB7)+CB14+CB22+CB33+CB41+CB87+SUM(CB94:CB99),5)</f>
        <v>0</v>
      </c>
      <c r="CC100" s="317"/>
      <c r="CD100" s="316">
        <f t="shared" si="54"/>
        <v>21736272.629999999</v>
      </c>
      <c r="CE100" s="317"/>
      <c r="CF100" s="316">
        <f>ROUND(SUM(CF4:CF7)+CF14+CF22+CF33+CF41+CF87+SUM(CF94:CF99),5)</f>
        <v>134540.24</v>
      </c>
      <c r="CG100" s="317"/>
      <c r="CH100" s="316">
        <f t="shared" si="55"/>
        <v>27072896.399999999</v>
      </c>
      <c r="CK100" s="318"/>
      <c r="CN100" s="318"/>
    </row>
    <row r="101" spans="1:92">
      <c r="A101" s="209"/>
      <c r="B101" s="209" t="s">
        <v>392</v>
      </c>
      <c r="C101" s="209"/>
      <c r="D101" s="209"/>
      <c r="E101" s="209"/>
      <c r="F101" s="209"/>
      <c r="G101" s="209"/>
      <c r="H101" s="210">
        <f>ROUND(H3-H100,5)</f>
        <v>0</v>
      </c>
      <c r="I101" s="211"/>
      <c r="J101" s="210">
        <f>ROUND(J3-J100,5)</f>
        <v>0</v>
      </c>
      <c r="K101" s="211"/>
      <c r="L101" s="210">
        <f>ROUND(L3-L100,5)</f>
        <v>-0.01</v>
      </c>
      <c r="M101" s="211"/>
      <c r="N101" s="210">
        <f>ROUND(N3-N100,5)</f>
        <v>0</v>
      </c>
      <c r="O101" s="211"/>
      <c r="P101" s="210">
        <f>ROUND(P3-P100,5)</f>
        <v>-6007957.9299999997</v>
      </c>
      <c r="Q101" s="211"/>
      <c r="R101" s="210">
        <f>ROUND(R3-R100,5)</f>
        <v>3824062.61</v>
      </c>
      <c r="S101" s="211"/>
      <c r="T101" s="210">
        <f t="shared" si="48"/>
        <v>-2183895.3199999998</v>
      </c>
      <c r="U101" s="211"/>
      <c r="V101" s="210">
        <f>ROUND(V3-V100,5)</f>
        <v>-70201</v>
      </c>
      <c r="W101" s="211"/>
      <c r="X101" s="210">
        <f>ROUND(X3-X100,5)</f>
        <v>0</v>
      </c>
      <c r="Y101" s="211"/>
      <c r="Z101" s="210">
        <f>ROUND(Z3-Z100,5)</f>
        <v>-8997.7800000000007</v>
      </c>
      <c r="AA101" s="211"/>
      <c r="AB101" s="210">
        <f>ROUND(AB3-AB100,5)</f>
        <v>-605324.89</v>
      </c>
      <c r="AC101" s="211"/>
      <c r="AD101" s="210">
        <f>ROUND(AD3-AD100,5)</f>
        <v>-25685.95</v>
      </c>
      <c r="AE101" s="211"/>
      <c r="AF101" s="210">
        <f>ROUND(AF3-AF100,5)</f>
        <v>-948131.15</v>
      </c>
      <c r="AG101" s="211"/>
      <c r="AH101" s="210">
        <f>ROUND(AH3-AH100,5)</f>
        <v>-66398.7</v>
      </c>
      <c r="AI101" s="211"/>
      <c r="AJ101" s="210">
        <f>ROUND(AJ3-AJ100,5)</f>
        <v>-7905.89</v>
      </c>
      <c r="AK101" s="211"/>
      <c r="AL101" s="210">
        <f>ROUND(AL3-AL100,5)</f>
        <v>-66284.47</v>
      </c>
      <c r="AM101" s="211"/>
      <c r="AN101" s="210">
        <f t="shared" si="49"/>
        <v>-1728728.83</v>
      </c>
      <c r="AO101" s="211"/>
      <c r="AP101" s="210">
        <f>ROUND(AP3-AP100,5)</f>
        <v>-1136030.4099999999</v>
      </c>
      <c r="AQ101" s="211"/>
      <c r="AR101" s="210">
        <f>ROUND(AR3-AR100,5)</f>
        <v>-83227.960000000006</v>
      </c>
      <c r="AS101" s="211"/>
      <c r="AT101" s="210">
        <f t="shared" si="50"/>
        <v>-1219258.3700000001</v>
      </c>
      <c r="AU101" s="211"/>
      <c r="AV101" s="210">
        <f>ROUND(AV3-AV100,5)</f>
        <v>2547.91</v>
      </c>
      <c r="AW101" s="211"/>
      <c r="AX101" s="210">
        <f>ROUND(AX3-AX100,5)</f>
        <v>-2227583.19</v>
      </c>
      <c r="AY101" s="211"/>
      <c r="AZ101" s="210">
        <f>ROUND(AZ3-AZ100,5)</f>
        <v>-1244769.81</v>
      </c>
      <c r="BA101" s="211"/>
      <c r="BB101" s="210">
        <f>ROUND(BB3-BB100,5)</f>
        <v>-13252358.91</v>
      </c>
      <c r="BC101" s="211"/>
      <c r="BD101" s="210">
        <f>ROUND(BD3-BD100,5)</f>
        <v>-255286.68</v>
      </c>
      <c r="BE101" s="211"/>
      <c r="BF101" s="210">
        <f>ROUND(BF3-BF100,5)</f>
        <v>0</v>
      </c>
      <c r="BG101" s="211"/>
      <c r="BH101" s="210">
        <f t="shared" si="51"/>
        <v>-16977450.68</v>
      </c>
      <c r="BI101" s="211"/>
      <c r="BJ101" s="210">
        <f>ROUND(BJ3-BJ100,5)</f>
        <v>-5295.25</v>
      </c>
      <c r="BK101" s="211"/>
      <c r="BL101" s="210">
        <f t="shared" si="52"/>
        <v>-5295.25</v>
      </c>
      <c r="BM101" s="211"/>
      <c r="BN101" s="210">
        <f>ROUND(BN3-BN100,5)</f>
        <v>-2158110.38</v>
      </c>
      <c r="BO101" s="211"/>
      <c r="BP101" s="210">
        <f>ROUND(BP3-BP100,5)</f>
        <v>-1341905.32</v>
      </c>
      <c r="BQ101" s="211"/>
      <c r="BR101" s="210">
        <f t="shared" si="53"/>
        <v>-3500015.7</v>
      </c>
      <c r="BS101" s="211"/>
      <c r="BT101" s="210">
        <f>ROUND(BT3-BT100,5)</f>
        <v>-1241355.57</v>
      </c>
      <c r="BU101" s="211"/>
      <c r="BV101" s="210">
        <f>ROUND(BV3-BV100,5)</f>
        <v>-11815.37</v>
      </c>
      <c r="BW101" s="211"/>
      <c r="BX101" s="210">
        <f>ROUND(BX3-BX100,5)</f>
        <v>-2490.8200000000002</v>
      </c>
      <c r="BY101" s="211"/>
      <c r="BZ101" s="210">
        <f>ROUND(BZ3-BZ100,5)</f>
        <v>2150.7600000000002</v>
      </c>
      <c r="CA101" s="211"/>
      <c r="CB101" s="210">
        <f>ROUND(CB3-CB100,5)</f>
        <v>0</v>
      </c>
      <c r="CC101" s="211"/>
      <c r="CD101" s="210">
        <f t="shared" si="54"/>
        <v>-21736272.629999999</v>
      </c>
      <c r="CE101" s="211"/>
      <c r="CF101" s="210">
        <f>ROUND(CF3-CF100,5)</f>
        <v>-134540.24</v>
      </c>
      <c r="CG101" s="211"/>
      <c r="CH101" s="210">
        <f t="shared" si="55"/>
        <v>-27072896.399999999</v>
      </c>
    </row>
    <row r="102" spans="1:92">
      <c r="A102" s="209"/>
      <c r="B102" s="209" t="s">
        <v>393</v>
      </c>
      <c r="C102" s="209"/>
      <c r="D102" s="209"/>
      <c r="E102" s="209"/>
      <c r="F102" s="209"/>
      <c r="G102" s="209"/>
      <c r="H102" s="210"/>
      <c r="I102" s="211"/>
      <c r="J102" s="210"/>
      <c r="K102" s="211"/>
      <c r="L102" s="210"/>
      <c r="M102" s="211"/>
      <c r="N102" s="210"/>
      <c r="O102" s="211"/>
      <c r="P102" s="210"/>
      <c r="Q102" s="211"/>
      <c r="R102" s="210"/>
      <c r="S102" s="211"/>
      <c r="T102" s="210"/>
      <c r="U102" s="211"/>
      <c r="V102" s="210"/>
      <c r="W102" s="211"/>
      <c r="X102" s="210"/>
      <c r="Y102" s="211"/>
      <c r="Z102" s="210"/>
      <c r="AA102" s="211"/>
      <c r="AB102" s="210"/>
      <c r="AC102" s="211"/>
      <c r="AD102" s="210"/>
      <c r="AE102" s="211"/>
      <c r="AF102" s="210"/>
      <c r="AG102" s="211"/>
      <c r="AH102" s="210"/>
      <c r="AI102" s="211"/>
      <c r="AJ102" s="210"/>
      <c r="AK102" s="211"/>
      <c r="AL102" s="210"/>
      <c r="AM102" s="211"/>
      <c r="AN102" s="210"/>
      <c r="AO102" s="211"/>
      <c r="AP102" s="210"/>
      <c r="AQ102" s="211"/>
      <c r="AR102" s="210"/>
      <c r="AS102" s="211"/>
      <c r="AT102" s="210"/>
      <c r="AU102" s="211"/>
      <c r="AV102" s="210"/>
      <c r="AW102" s="211"/>
      <c r="AX102" s="210"/>
      <c r="AY102" s="211"/>
      <c r="AZ102" s="210"/>
      <c r="BA102" s="211"/>
      <c r="BB102" s="210"/>
      <c r="BC102" s="211"/>
      <c r="BD102" s="210"/>
      <c r="BE102" s="211"/>
      <c r="BF102" s="210"/>
      <c r="BG102" s="211"/>
      <c r="BH102" s="210"/>
      <c r="BI102" s="211"/>
      <c r="BJ102" s="210"/>
      <c r="BK102" s="211"/>
      <c r="BL102" s="210"/>
      <c r="BM102" s="211"/>
      <c r="BN102" s="210"/>
      <c r="BO102" s="211"/>
      <c r="BP102" s="210"/>
      <c r="BQ102" s="211"/>
      <c r="BR102" s="210"/>
      <c r="BS102" s="211"/>
      <c r="BT102" s="210"/>
      <c r="BU102" s="211"/>
      <c r="BV102" s="210"/>
      <c r="BW102" s="211"/>
      <c r="BX102" s="210"/>
      <c r="BY102" s="211"/>
      <c r="BZ102" s="210"/>
      <c r="CA102" s="211"/>
      <c r="CB102" s="210"/>
      <c r="CC102" s="211"/>
      <c r="CD102" s="210"/>
      <c r="CE102" s="211"/>
      <c r="CF102" s="210"/>
      <c r="CG102" s="211"/>
      <c r="CH102" s="210"/>
    </row>
    <row r="103" spans="1:92">
      <c r="A103" s="209"/>
      <c r="B103" s="209"/>
      <c r="C103" s="209" t="s">
        <v>394</v>
      </c>
      <c r="D103" s="209"/>
      <c r="E103" s="209"/>
      <c r="F103" s="209"/>
      <c r="G103" s="209"/>
      <c r="H103" s="210"/>
      <c r="I103" s="211"/>
      <c r="J103" s="210"/>
      <c r="K103" s="211"/>
      <c r="L103" s="210"/>
      <c r="M103" s="211"/>
      <c r="N103" s="210"/>
      <c r="O103" s="211"/>
      <c r="P103" s="210"/>
      <c r="Q103" s="211"/>
      <c r="R103" s="210"/>
      <c r="S103" s="211"/>
      <c r="T103" s="210"/>
      <c r="U103" s="211"/>
      <c r="V103" s="210"/>
      <c r="W103" s="211"/>
      <c r="X103" s="210"/>
      <c r="Y103" s="211"/>
      <c r="Z103" s="210"/>
      <c r="AA103" s="211"/>
      <c r="AB103" s="210"/>
      <c r="AC103" s="211"/>
      <c r="AD103" s="210"/>
      <c r="AE103" s="211"/>
      <c r="AF103" s="210"/>
      <c r="AG103" s="211"/>
      <c r="AH103" s="210"/>
      <c r="AI103" s="211"/>
      <c r="AJ103" s="210"/>
      <c r="AK103" s="211"/>
      <c r="AL103" s="210"/>
      <c r="AM103" s="211"/>
      <c r="AN103" s="210"/>
      <c r="AO103" s="211"/>
      <c r="AP103" s="210"/>
      <c r="AQ103" s="211"/>
      <c r="AR103" s="210"/>
      <c r="AS103" s="211"/>
      <c r="AT103" s="210"/>
      <c r="AU103" s="211"/>
      <c r="AV103" s="210"/>
      <c r="AW103" s="211"/>
      <c r="AX103" s="210"/>
      <c r="AY103" s="211"/>
      <c r="AZ103" s="210"/>
      <c r="BA103" s="211"/>
      <c r="BB103" s="210"/>
      <c r="BC103" s="211"/>
      <c r="BD103" s="210"/>
      <c r="BE103" s="211"/>
      <c r="BF103" s="210"/>
      <c r="BG103" s="211"/>
      <c r="BH103" s="210"/>
      <c r="BI103" s="211"/>
      <c r="BJ103" s="210"/>
      <c r="BK103" s="211"/>
      <c r="BL103" s="210"/>
      <c r="BM103" s="211"/>
      <c r="BN103" s="210"/>
      <c r="BO103" s="211"/>
      <c r="BP103" s="210"/>
      <c r="BQ103" s="211"/>
      <c r="BR103" s="210"/>
      <c r="BS103" s="211"/>
      <c r="BT103" s="210"/>
      <c r="BU103" s="211"/>
      <c r="BV103" s="210"/>
      <c r="BW103" s="211"/>
      <c r="BX103" s="210"/>
      <c r="BY103" s="211"/>
      <c r="BZ103" s="210"/>
      <c r="CA103" s="211"/>
      <c r="CB103" s="210"/>
      <c r="CC103" s="211"/>
      <c r="CD103" s="210"/>
      <c r="CE103" s="211"/>
      <c r="CF103" s="210"/>
      <c r="CG103" s="211"/>
      <c r="CH103" s="210"/>
    </row>
    <row r="104" spans="1:92">
      <c r="A104" s="209"/>
      <c r="B104" s="209"/>
      <c r="C104" s="209"/>
      <c r="D104" s="209" t="s">
        <v>395</v>
      </c>
      <c r="E104" s="209"/>
      <c r="F104" s="209"/>
      <c r="G104" s="209"/>
      <c r="H104" s="210">
        <v>0</v>
      </c>
      <c r="I104" s="211"/>
      <c r="J104" s="210">
        <v>0</v>
      </c>
      <c r="K104" s="211"/>
      <c r="L104" s="210">
        <v>0</v>
      </c>
      <c r="M104" s="211"/>
      <c r="N104" s="210">
        <v>0</v>
      </c>
      <c r="O104" s="211"/>
      <c r="P104" s="210">
        <v>0</v>
      </c>
      <c r="Q104" s="211"/>
      <c r="R104" s="210">
        <v>0</v>
      </c>
      <c r="S104" s="211"/>
      <c r="T104" s="210">
        <f>ROUND(SUM(P104:R104),5)</f>
        <v>0</v>
      </c>
      <c r="U104" s="211"/>
      <c r="V104" s="210">
        <v>0</v>
      </c>
      <c r="W104" s="211"/>
      <c r="X104" s="210">
        <v>0</v>
      </c>
      <c r="Y104" s="211"/>
      <c r="Z104" s="210">
        <v>0</v>
      </c>
      <c r="AA104" s="211"/>
      <c r="AB104" s="210">
        <v>5992.14</v>
      </c>
      <c r="AC104" s="211"/>
      <c r="AD104" s="210">
        <v>-47</v>
      </c>
      <c r="AE104" s="211"/>
      <c r="AF104" s="210">
        <v>-10214.719999999999</v>
      </c>
      <c r="AG104" s="211"/>
      <c r="AH104" s="210">
        <v>-288.55</v>
      </c>
      <c r="AI104" s="211"/>
      <c r="AJ104" s="210">
        <v>0</v>
      </c>
      <c r="AK104" s="211"/>
      <c r="AL104" s="210">
        <v>-866.48</v>
      </c>
      <c r="AM104" s="211"/>
      <c r="AN104" s="210">
        <f>ROUND(SUM(X104:AL104),5)</f>
        <v>-5424.61</v>
      </c>
      <c r="AO104" s="211"/>
      <c r="AP104" s="210">
        <v>9807.7900000000009</v>
      </c>
      <c r="AQ104" s="211"/>
      <c r="AR104" s="210">
        <v>0</v>
      </c>
      <c r="AS104" s="211"/>
      <c r="AT104" s="210">
        <f>ROUND(SUM(AP104:AR104),5)</f>
        <v>9807.7900000000009</v>
      </c>
      <c r="AU104" s="211"/>
      <c r="AV104" s="210">
        <v>0.02</v>
      </c>
      <c r="AW104" s="211"/>
      <c r="AX104" s="210">
        <v>18180.84</v>
      </c>
      <c r="AY104" s="211"/>
      <c r="AZ104" s="210">
        <v>10499.68</v>
      </c>
      <c r="BA104" s="211"/>
      <c r="BB104" s="210">
        <v>-13407.62</v>
      </c>
      <c r="BC104" s="211"/>
      <c r="BD104" s="210">
        <v>-396.6</v>
      </c>
      <c r="BE104" s="211"/>
      <c r="BF104" s="210">
        <v>0</v>
      </c>
      <c r="BG104" s="211"/>
      <c r="BH104" s="210">
        <f>ROUND(SUM(AV104:BF104),5)</f>
        <v>14876.32</v>
      </c>
      <c r="BI104" s="211"/>
      <c r="BJ104" s="210">
        <v>-74.040000000000006</v>
      </c>
      <c r="BK104" s="211"/>
      <c r="BL104" s="210">
        <f>BJ104</f>
        <v>-74.040000000000006</v>
      </c>
      <c r="BM104" s="211"/>
      <c r="BN104" s="210">
        <v>-78682.539999999994</v>
      </c>
      <c r="BO104" s="211"/>
      <c r="BP104" s="210">
        <v>-11687.06</v>
      </c>
      <c r="BQ104" s="211"/>
      <c r="BR104" s="210">
        <f>ROUND(SUM(BN104:BP104),5)</f>
        <v>-90369.600000000006</v>
      </c>
      <c r="BS104" s="211"/>
      <c r="BT104" s="210">
        <v>0</v>
      </c>
      <c r="BU104" s="211"/>
      <c r="BV104" s="210">
        <v>0</v>
      </c>
      <c r="BW104" s="211"/>
      <c r="BX104" s="210">
        <v>0</v>
      </c>
      <c r="BY104" s="211"/>
      <c r="BZ104" s="210">
        <v>0</v>
      </c>
      <c r="CA104" s="211"/>
      <c r="CB104" s="210">
        <v>-0.01</v>
      </c>
      <c r="CC104" s="211"/>
      <c r="CD104" s="210">
        <f>ROUND(BH104+BL104+SUM(BR104:CB104),5)</f>
        <v>-75567.33</v>
      </c>
      <c r="CE104" s="211"/>
      <c r="CF104" s="210">
        <v>-250695.81</v>
      </c>
      <c r="CG104" s="211"/>
      <c r="CH104" s="210">
        <f>ROUND(SUM(H104:N104)+SUM(T104:V104)+AN104+AT104+SUM(CD104:CF104),5)</f>
        <v>-321879.96000000002</v>
      </c>
    </row>
    <row r="105" spans="1:92" ht="15" thickBot="1">
      <c r="A105" s="209"/>
      <c r="B105" s="209"/>
      <c r="C105" s="209"/>
      <c r="D105" s="209" t="s">
        <v>396</v>
      </c>
      <c r="E105" s="209"/>
      <c r="F105" s="209"/>
      <c r="G105" s="209"/>
      <c r="H105" s="214">
        <v>0</v>
      </c>
      <c r="I105" s="211"/>
      <c r="J105" s="214">
        <v>0</v>
      </c>
      <c r="K105" s="211"/>
      <c r="L105" s="214">
        <v>0</v>
      </c>
      <c r="M105" s="211"/>
      <c r="N105" s="214">
        <v>0</v>
      </c>
      <c r="O105" s="211"/>
      <c r="P105" s="214">
        <v>0</v>
      </c>
      <c r="Q105" s="211"/>
      <c r="R105" s="214">
        <v>0</v>
      </c>
      <c r="S105" s="211"/>
      <c r="T105" s="214">
        <f>ROUND(SUM(P105:R105),5)</f>
        <v>0</v>
      </c>
      <c r="U105" s="211"/>
      <c r="V105" s="214">
        <v>0</v>
      </c>
      <c r="W105" s="211"/>
      <c r="X105" s="214">
        <v>0</v>
      </c>
      <c r="Y105" s="211"/>
      <c r="Z105" s="214">
        <v>0</v>
      </c>
      <c r="AA105" s="211"/>
      <c r="AB105" s="214">
        <v>-6632.36</v>
      </c>
      <c r="AC105" s="211"/>
      <c r="AD105" s="214">
        <v>-176.86</v>
      </c>
      <c r="AE105" s="211"/>
      <c r="AF105" s="214">
        <v>113.71</v>
      </c>
      <c r="AG105" s="211"/>
      <c r="AH105" s="214">
        <v>-9.4700000000000006</v>
      </c>
      <c r="AI105" s="211"/>
      <c r="AJ105" s="214">
        <v>0</v>
      </c>
      <c r="AK105" s="211"/>
      <c r="AL105" s="214">
        <v>0</v>
      </c>
      <c r="AM105" s="211"/>
      <c r="AN105" s="214">
        <f>ROUND(SUM(X105:AL105),5)</f>
        <v>-6704.98</v>
      </c>
      <c r="AO105" s="211"/>
      <c r="AP105" s="214">
        <v>-10611.83</v>
      </c>
      <c r="AQ105" s="211"/>
      <c r="AR105" s="214">
        <v>0</v>
      </c>
      <c r="AS105" s="211"/>
      <c r="AT105" s="214">
        <f>ROUND(SUM(AP105:AR105),5)</f>
        <v>-10611.83</v>
      </c>
      <c r="AU105" s="211"/>
      <c r="AV105" s="214">
        <v>0</v>
      </c>
      <c r="AW105" s="211"/>
      <c r="AX105" s="214">
        <v>-2802.5</v>
      </c>
      <c r="AY105" s="211"/>
      <c r="AZ105" s="214">
        <v>-1452.29</v>
      </c>
      <c r="BA105" s="211"/>
      <c r="BB105" s="214">
        <v>-42729.73</v>
      </c>
      <c r="BC105" s="211"/>
      <c r="BD105" s="214">
        <v>0</v>
      </c>
      <c r="BE105" s="211"/>
      <c r="BF105" s="214">
        <v>0</v>
      </c>
      <c r="BG105" s="211"/>
      <c r="BH105" s="214">
        <f>ROUND(SUM(AV105:BF105),5)</f>
        <v>-46984.52</v>
      </c>
      <c r="BI105" s="211"/>
      <c r="BJ105" s="214">
        <v>0</v>
      </c>
      <c r="BK105" s="211"/>
      <c r="BL105" s="214">
        <f>BJ105</f>
        <v>0</v>
      </c>
      <c r="BM105" s="211"/>
      <c r="BN105" s="214">
        <v>-13646.17</v>
      </c>
      <c r="BO105" s="211"/>
      <c r="BP105" s="214">
        <v>0</v>
      </c>
      <c r="BQ105" s="211"/>
      <c r="BR105" s="214">
        <f>ROUND(SUM(BN105:BP105),5)</f>
        <v>-13646.17</v>
      </c>
      <c r="BS105" s="211"/>
      <c r="BT105" s="214">
        <v>0</v>
      </c>
      <c r="BU105" s="211"/>
      <c r="BV105" s="214">
        <v>0</v>
      </c>
      <c r="BW105" s="211"/>
      <c r="BX105" s="214">
        <v>0</v>
      </c>
      <c r="BY105" s="211"/>
      <c r="BZ105" s="214">
        <v>0</v>
      </c>
      <c r="CA105" s="211"/>
      <c r="CB105" s="214">
        <v>0</v>
      </c>
      <c r="CC105" s="211"/>
      <c r="CD105" s="214">
        <f>ROUND(BH105+BL105+SUM(BR105:CB105),5)</f>
        <v>-60630.69</v>
      </c>
      <c r="CE105" s="211"/>
      <c r="CF105" s="214">
        <v>51570.61</v>
      </c>
      <c r="CG105" s="211"/>
      <c r="CH105" s="214">
        <f>ROUND(SUM(H105:N105)+SUM(T105:V105)+AN105+AT105+SUM(CD105:CF105),5)</f>
        <v>-26376.89</v>
      </c>
    </row>
    <row r="106" spans="1:92" ht="15" thickBot="1">
      <c r="A106" s="209"/>
      <c r="B106" s="209"/>
      <c r="C106" s="209" t="s">
        <v>397</v>
      </c>
      <c r="D106" s="209"/>
      <c r="E106" s="209"/>
      <c r="F106" s="209"/>
      <c r="G106" s="209"/>
      <c r="H106" s="215">
        <f>ROUND(SUM(H103:H105),5)</f>
        <v>0</v>
      </c>
      <c r="I106" s="211"/>
      <c r="J106" s="215">
        <f>ROUND(SUM(J103:J105),5)</f>
        <v>0</v>
      </c>
      <c r="K106" s="211"/>
      <c r="L106" s="215">
        <f>ROUND(SUM(L103:L105),5)</f>
        <v>0</v>
      </c>
      <c r="M106" s="211"/>
      <c r="N106" s="215">
        <f>ROUND(SUM(N103:N105),5)</f>
        <v>0</v>
      </c>
      <c r="O106" s="211"/>
      <c r="P106" s="215">
        <f>ROUND(SUM(P103:P105),5)</f>
        <v>0</v>
      </c>
      <c r="Q106" s="211"/>
      <c r="R106" s="215">
        <f>ROUND(SUM(R103:R105),5)</f>
        <v>0</v>
      </c>
      <c r="S106" s="211"/>
      <c r="T106" s="215">
        <f>ROUND(SUM(P106:R106),5)</f>
        <v>0</v>
      </c>
      <c r="U106" s="211"/>
      <c r="V106" s="215">
        <f>ROUND(SUM(V103:V105),5)</f>
        <v>0</v>
      </c>
      <c r="W106" s="211"/>
      <c r="X106" s="215">
        <f>ROUND(SUM(X103:X105),5)</f>
        <v>0</v>
      </c>
      <c r="Y106" s="211"/>
      <c r="Z106" s="215">
        <f>ROUND(SUM(Z103:Z105),5)</f>
        <v>0</v>
      </c>
      <c r="AA106" s="211"/>
      <c r="AB106" s="215">
        <f>ROUND(SUM(AB103:AB105),5)</f>
        <v>-640.22</v>
      </c>
      <c r="AC106" s="211"/>
      <c r="AD106" s="215">
        <f>ROUND(SUM(AD103:AD105),5)</f>
        <v>-223.86</v>
      </c>
      <c r="AE106" s="211"/>
      <c r="AF106" s="215">
        <f>ROUND(SUM(AF103:AF105),5)</f>
        <v>-10101.01</v>
      </c>
      <c r="AG106" s="211"/>
      <c r="AH106" s="215">
        <f>ROUND(SUM(AH103:AH105),5)</f>
        <v>-298.02</v>
      </c>
      <c r="AI106" s="211"/>
      <c r="AJ106" s="215">
        <f>ROUND(SUM(AJ103:AJ105),5)</f>
        <v>0</v>
      </c>
      <c r="AK106" s="211"/>
      <c r="AL106" s="215">
        <f>ROUND(SUM(AL103:AL105),5)</f>
        <v>-866.48</v>
      </c>
      <c r="AM106" s="211"/>
      <c r="AN106" s="215">
        <f>ROUND(SUM(X106:AL106),5)</f>
        <v>-12129.59</v>
      </c>
      <c r="AO106" s="211"/>
      <c r="AP106" s="215">
        <f>ROUND(SUM(AP103:AP105),5)</f>
        <v>-804.04</v>
      </c>
      <c r="AQ106" s="211"/>
      <c r="AR106" s="215">
        <f>ROUND(SUM(AR103:AR105),5)</f>
        <v>0</v>
      </c>
      <c r="AS106" s="211"/>
      <c r="AT106" s="215">
        <f>ROUND(SUM(AP106:AR106),5)</f>
        <v>-804.04</v>
      </c>
      <c r="AU106" s="211"/>
      <c r="AV106" s="215">
        <f>ROUND(SUM(AV103:AV105),5)</f>
        <v>0.02</v>
      </c>
      <c r="AW106" s="211"/>
      <c r="AX106" s="215">
        <f>ROUND(SUM(AX103:AX105),5)</f>
        <v>15378.34</v>
      </c>
      <c r="AY106" s="211"/>
      <c r="AZ106" s="215">
        <f>ROUND(SUM(AZ103:AZ105),5)</f>
        <v>9047.39</v>
      </c>
      <c r="BA106" s="211"/>
      <c r="BB106" s="215">
        <f>ROUND(SUM(BB103:BB105),5)</f>
        <v>-56137.35</v>
      </c>
      <c r="BC106" s="211"/>
      <c r="BD106" s="215">
        <f>ROUND(SUM(BD103:BD105),5)</f>
        <v>-396.6</v>
      </c>
      <c r="BE106" s="211"/>
      <c r="BF106" s="215">
        <f>ROUND(SUM(BF103:BF105),5)</f>
        <v>0</v>
      </c>
      <c r="BG106" s="211"/>
      <c r="BH106" s="215">
        <f>ROUND(SUM(AV106:BF106),5)</f>
        <v>-32108.2</v>
      </c>
      <c r="BI106" s="211"/>
      <c r="BJ106" s="215">
        <f>ROUND(SUM(BJ103:BJ105),5)</f>
        <v>-74.040000000000006</v>
      </c>
      <c r="BK106" s="211"/>
      <c r="BL106" s="215">
        <f>BJ106</f>
        <v>-74.040000000000006</v>
      </c>
      <c r="BM106" s="211"/>
      <c r="BN106" s="215">
        <f>ROUND(SUM(BN103:BN105),5)</f>
        <v>-92328.71</v>
      </c>
      <c r="BO106" s="211"/>
      <c r="BP106" s="215">
        <f>ROUND(SUM(BP103:BP105),5)</f>
        <v>-11687.06</v>
      </c>
      <c r="BQ106" s="211"/>
      <c r="BR106" s="215">
        <f>ROUND(SUM(BN106:BP106),5)</f>
        <v>-104015.77</v>
      </c>
      <c r="BS106" s="211"/>
      <c r="BT106" s="215">
        <f>ROUND(SUM(BT103:BT105),5)</f>
        <v>0</v>
      </c>
      <c r="BU106" s="211"/>
      <c r="BV106" s="215">
        <f>ROUND(SUM(BV103:BV105),5)</f>
        <v>0</v>
      </c>
      <c r="BW106" s="211"/>
      <c r="BX106" s="215">
        <f>ROUND(SUM(BX103:BX105),5)</f>
        <v>0</v>
      </c>
      <c r="BY106" s="211"/>
      <c r="BZ106" s="215">
        <f>ROUND(SUM(BZ103:BZ105),5)</f>
        <v>0</v>
      </c>
      <c r="CA106" s="211"/>
      <c r="CB106" s="215">
        <f>ROUND(SUM(CB103:CB105),5)</f>
        <v>-0.01</v>
      </c>
      <c r="CC106" s="211"/>
      <c r="CD106" s="215">
        <f>ROUND(BH106+BL106+SUM(BR106:CB106),5)</f>
        <v>-136198.01999999999</v>
      </c>
      <c r="CE106" s="211"/>
      <c r="CF106" s="215">
        <f>ROUND(SUM(CF103:CF105),5)</f>
        <v>-199125.2</v>
      </c>
      <c r="CG106" s="211"/>
      <c r="CH106" s="215">
        <f>ROUND(SUM(H106:N106)+SUM(T106:V106)+AN106+AT106+SUM(CD106:CF106),5)</f>
        <v>-348256.85</v>
      </c>
    </row>
    <row r="107" spans="1:92" ht="15" thickBot="1">
      <c r="A107" s="209"/>
      <c r="B107" s="209" t="s">
        <v>398</v>
      </c>
      <c r="C107" s="209"/>
      <c r="D107" s="209"/>
      <c r="E107" s="209"/>
      <c r="F107" s="209"/>
      <c r="G107" s="209"/>
      <c r="H107" s="215">
        <f>ROUND(H102-H106,5)</f>
        <v>0</v>
      </c>
      <c r="I107" s="211"/>
      <c r="J107" s="215">
        <f>ROUND(J102-J106,5)</f>
        <v>0</v>
      </c>
      <c r="K107" s="211"/>
      <c r="L107" s="215">
        <f>ROUND(L102-L106,5)</f>
        <v>0</v>
      </c>
      <c r="M107" s="211"/>
      <c r="N107" s="215">
        <f>ROUND(N102-N106,5)</f>
        <v>0</v>
      </c>
      <c r="O107" s="211"/>
      <c r="P107" s="215">
        <f>ROUND(P102-P106,5)</f>
        <v>0</v>
      </c>
      <c r="Q107" s="211"/>
      <c r="R107" s="215">
        <f>ROUND(R102-R106,5)</f>
        <v>0</v>
      </c>
      <c r="S107" s="211"/>
      <c r="T107" s="215">
        <f>ROUND(SUM(P107:R107),5)</f>
        <v>0</v>
      </c>
      <c r="U107" s="211"/>
      <c r="V107" s="215">
        <f>ROUND(V102-V106,5)</f>
        <v>0</v>
      </c>
      <c r="W107" s="211"/>
      <c r="X107" s="215">
        <f>ROUND(X102-X106,5)</f>
        <v>0</v>
      </c>
      <c r="Y107" s="211"/>
      <c r="Z107" s="215">
        <f>ROUND(Z102-Z106,5)</f>
        <v>0</v>
      </c>
      <c r="AA107" s="211"/>
      <c r="AB107" s="215">
        <f>ROUND(AB102-AB106,5)</f>
        <v>640.22</v>
      </c>
      <c r="AC107" s="211"/>
      <c r="AD107" s="215">
        <f>ROUND(AD102-AD106,5)</f>
        <v>223.86</v>
      </c>
      <c r="AE107" s="211"/>
      <c r="AF107" s="215">
        <f>ROUND(AF102-AF106,5)</f>
        <v>10101.01</v>
      </c>
      <c r="AG107" s="211"/>
      <c r="AH107" s="215">
        <f>ROUND(AH102-AH106,5)</f>
        <v>298.02</v>
      </c>
      <c r="AI107" s="211"/>
      <c r="AJ107" s="215">
        <f>ROUND(AJ102-AJ106,5)</f>
        <v>0</v>
      </c>
      <c r="AK107" s="211"/>
      <c r="AL107" s="215">
        <f>ROUND(AL102-AL106,5)</f>
        <v>866.48</v>
      </c>
      <c r="AM107" s="211"/>
      <c r="AN107" s="215">
        <f>ROUND(SUM(X107:AL107),5)</f>
        <v>12129.59</v>
      </c>
      <c r="AO107" s="211"/>
      <c r="AP107" s="215">
        <f>ROUND(AP102-AP106,5)</f>
        <v>804.04</v>
      </c>
      <c r="AQ107" s="211"/>
      <c r="AR107" s="215">
        <f>ROUND(AR102-AR106,5)</f>
        <v>0</v>
      </c>
      <c r="AS107" s="211"/>
      <c r="AT107" s="215">
        <f>ROUND(SUM(AP107:AR107),5)</f>
        <v>804.04</v>
      </c>
      <c r="AU107" s="211"/>
      <c r="AV107" s="215">
        <f>ROUND(AV102-AV106,5)</f>
        <v>-0.02</v>
      </c>
      <c r="AW107" s="211"/>
      <c r="AX107" s="215">
        <f>ROUND(AX102-AX106,5)</f>
        <v>-15378.34</v>
      </c>
      <c r="AY107" s="211"/>
      <c r="AZ107" s="215">
        <f>ROUND(AZ102-AZ106,5)</f>
        <v>-9047.39</v>
      </c>
      <c r="BA107" s="211"/>
      <c r="BB107" s="215">
        <f>ROUND(BB102-BB106,5)</f>
        <v>56137.35</v>
      </c>
      <c r="BC107" s="211"/>
      <c r="BD107" s="215">
        <f>ROUND(BD102-BD106,5)</f>
        <v>396.6</v>
      </c>
      <c r="BE107" s="211"/>
      <c r="BF107" s="215">
        <f>ROUND(BF102-BF106,5)</f>
        <v>0</v>
      </c>
      <c r="BG107" s="211"/>
      <c r="BH107" s="215">
        <f>ROUND(SUM(AV107:BF107),5)</f>
        <v>32108.2</v>
      </c>
      <c r="BI107" s="211"/>
      <c r="BJ107" s="215">
        <f>ROUND(BJ102-BJ106,5)</f>
        <v>74.040000000000006</v>
      </c>
      <c r="BK107" s="211"/>
      <c r="BL107" s="215">
        <f>BJ107</f>
        <v>74.040000000000006</v>
      </c>
      <c r="BM107" s="211"/>
      <c r="BN107" s="215">
        <f>ROUND(BN102-BN106,5)</f>
        <v>92328.71</v>
      </c>
      <c r="BO107" s="211"/>
      <c r="BP107" s="215">
        <f>ROUND(BP102-BP106,5)</f>
        <v>11687.06</v>
      </c>
      <c r="BQ107" s="211"/>
      <c r="BR107" s="215">
        <f>ROUND(SUM(BN107:BP107),5)</f>
        <v>104015.77</v>
      </c>
      <c r="BS107" s="211"/>
      <c r="BT107" s="215">
        <f>ROUND(BT102-BT106,5)</f>
        <v>0</v>
      </c>
      <c r="BU107" s="211"/>
      <c r="BV107" s="215">
        <f>ROUND(BV102-BV106,5)</f>
        <v>0</v>
      </c>
      <c r="BW107" s="211"/>
      <c r="BX107" s="215">
        <f>ROUND(BX102-BX106,5)</f>
        <v>0</v>
      </c>
      <c r="BY107" s="211"/>
      <c r="BZ107" s="215">
        <f>ROUND(BZ102-BZ106,5)</f>
        <v>0</v>
      </c>
      <c r="CA107" s="211"/>
      <c r="CB107" s="215">
        <f>ROUND(CB102-CB106,5)</f>
        <v>0.01</v>
      </c>
      <c r="CC107" s="211"/>
      <c r="CD107" s="215">
        <f>ROUND(BH107+BL107+SUM(BR107:CB107),5)</f>
        <v>136198.01999999999</v>
      </c>
      <c r="CE107" s="211"/>
      <c r="CF107" s="215">
        <f>ROUND(CF102-CF106,5)</f>
        <v>199125.2</v>
      </c>
      <c r="CG107" s="211"/>
      <c r="CH107" s="215">
        <f>ROUND(SUM(H107:N107)+SUM(T107:V107)+AN107+AT107+SUM(CD107:CF107),5)</f>
        <v>348256.85</v>
      </c>
    </row>
    <row r="108" spans="1:92" s="223" customFormat="1" ht="11" thickBot="1">
      <c r="A108" s="209" t="s">
        <v>399</v>
      </c>
      <c r="B108" s="209"/>
      <c r="C108" s="209"/>
      <c r="D108" s="209"/>
      <c r="E108" s="209"/>
      <c r="F108" s="209"/>
      <c r="G108" s="209"/>
      <c r="H108" s="222">
        <f>ROUND(H101+H107,5)</f>
        <v>0</v>
      </c>
      <c r="I108" s="209"/>
      <c r="J108" s="222">
        <f>ROUND(J101+J107,5)</f>
        <v>0</v>
      </c>
      <c r="K108" s="209"/>
      <c r="L108" s="222">
        <f>ROUND(L101+L107,5)</f>
        <v>-0.01</v>
      </c>
      <c r="M108" s="209"/>
      <c r="N108" s="222">
        <f>ROUND(N101+N107,5)</f>
        <v>0</v>
      </c>
      <c r="O108" s="209"/>
      <c r="P108" s="222">
        <f>ROUND(P101+P107,5)</f>
        <v>-6007957.9299999997</v>
      </c>
      <c r="Q108" s="209"/>
      <c r="R108" s="222">
        <f>ROUND(R101+R107,5)</f>
        <v>3824062.61</v>
      </c>
      <c r="S108" s="209"/>
      <c r="T108" s="222">
        <f>ROUND(SUM(P108:R108),5)</f>
        <v>-2183895.3199999998</v>
      </c>
      <c r="U108" s="209"/>
      <c r="V108" s="222">
        <f>ROUND(V101+V107,5)</f>
        <v>-70201</v>
      </c>
      <c r="W108" s="209"/>
      <c r="X108" s="222">
        <f>ROUND(X101+X107,5)</f>
        <v>0</v>
      </c>
      <c r="Y108" s="209"/>
      <c r="Z108" s="222">
        <f>ROUND(Z101+Z107,5)</f>
        <v>-8997.7800000000007</v>
      </c>
      <c r="AA108" s="209"/>
      <c r="AB108" s="222">
        <f>ROUND(AB101+AB107,5)</f>
        <v>-604684.67000000004</v>
      </c>
      <c r="AC108" s="209"/>
      <c r="AD108" s="222">
        <f>ROUND(AD101+AD107,5)</f>
        <v>-25462.09</v>
      </c>
      <c r="AE108" s="209"/>
      <c r="AF108" s="222">
        <f>ROUND(AF101+AF107,5)</f>
        <v>-938030.14</v>
      </c>
      <c r="AG108" s="209"/>
      <c r="AH108" s="222">
        <f>ROUND(AH101+AH107,5)</f>
        <v>-66100.679999999993</v>
      </c>
      <c r="AI108" s="209"/>
      <c r="AJ108" s="222">
        <f>ROUND(AJ101+AJ107,5)</f>
        <v>-7905.89</v>
      </c>
      <c r="AK108" s="209"/>
      <c r="AL108" s="222">
        <f>ROUND(AL101+AL107,5)</f>
        <v>-65417.99</v>
      </c>
      <c r="AM108" s="209"/>
      <c r="AN108" s="222">
        <f>ROUND(SUM(X108:AL108),5)</f>
        <v>-1716599.24</v>
      </c>
      <c r="AO108" s="209"/>
      <c r="AP108" s="222">
        <f>ROUND(AP101+AP107,5)</f>
        <v>-1135226.3700000001</v>
      </c>
      <c r="AQ108" s="209"/>
      <c r="AR108" s="222">
        <f>ROUND(AR101+AR107,5)</f>
        <v>-83227.960000000006</v>
      </c>
      <c r="AS108" s="209"/>
      <c r="AT108" s="222">
        <f>ROUND(SUM(AP108:AR108),5)</f>
        <v>-1218454.33</v>
      </c>
      <c r="AU108" s="209"/>
      <c r="AV108" s="222">
        <f>ROUND(AV101+AV107,5)</f>
        <v>2547.89</v>
      </c>
      <c r="AW108" s="209"/>
      <c r="AX108" s="222">
        <f>ROUND(AX101+AX107,5)</f>
        <v>-2242961.5299999998</v>
      </c>
      <c r="AY108" s="209"/>
      <c r="AZ108" s="222">
        <f>ROUND(AZ101+AZ107,5)</f>
        <v>-1253817.2</v>
      </c>
      <c r="BA108" s="209"/>
      <c r="BB108" s="222">
        <f>ROUND(BB101+BB107,5)</f>
        <v>-13196221.560000001</v>
      </c>
      <c r="BC108" s="209"/>
      <c r="BD108" s="222">
        <f>ROUND(BD101+BD107,5)</f>
        <v>-254890.08</v>
      </c>
      <c r="BE108" s="209"/>
      <c r="BF108" s="222">
        <f>ROUND(BF101+BF107,5)</f>
        <v>0</v>
      </c>
      <c r="BG108" s="209"/>
      <c r="BH108" s="222">
        <f>ROUND(SUM(AV108:BF108),5)</f>
        <v>-16945342.48</v>
      </c>
      <c r="BI108" s="209"/>
      <c r="BJ108" s="222">
        <f>ROUND(BJ101+BJ107,5)</f>
        <v>-5221.21</v>
      </c>
      <c r="BK108" s="209"/>
      <c r="BL108" s="222">
        <f>BJ108</f>
        <v>-5221.21</v>
      </c>
      <c r="BM108" s="209"/>
      <c r="BN108" s="222">
        <f>ROUND(BN101+BN107,5)</f>
        <v>-2065781.67</v>
      </c>
      <c r="BO108" s="209"/>
      <c r="BP108" s="222">
        <f>ROUND(BP101+BP107,5)</f>
        <v>-1330218.26</v>
      </c>
      <c r="BQ108" s="209"/>
      <c r="BR108" s="222">
        <f>ROUND(SUM(BN108:BP108),5)</f>
        <v>-3395999.93</v>
      </c>
      <c r="BS108" s="209"/>
      <c r="BT108" s="222">
        <f>ROUND(BT101+BT107,5)</f>
        <v>-1241355.57</v>
      </c>
      <c r="BU108" s="209"/>
      <c r="BV108" s="222">
        <f>ROUND(BV101+BV107,5)</f>
        <v>-11815.37</v>
      </c>
      <c r="BW108" s="209"/>
      <c r="BX108" s="222">
        <f>ROUND(BX101+BX107,5)</f>
        <v>-2490.8200000000002</v>
      </c>
      <c r="BY108" s="209"/>
      <c r="BZ108" s="222">
        <f>ROUND(BZ101+BZ107,5)</f>
        <v>2150.7600000000002</v>
      </c>
      <c r="CA108" s="209"/>
      <c r="CB108" s="222">
        <f>ROUND(CB101+CB107,5)</f>
        <v>0.01</v>
      </c>
      <c r="CC108" s="209"/>
      <c r="CD108" s="222">
        <f>ROUND(BH108+BL108+SUM(BR108:CB108),5)</f>
        <v>-21600074.609999999</v>
      </c>
      <c r="CE108" s="209"/>
      <c r="CF108" s="222">
        <f>ROUND(CF101+CF107,5)</f>
        <v>64584.959999999999</v>
      </c>
      <c r="CG108" s="209"/>
      <c r="CH108" s="222">
        <f>ROUND(SUM(H108:N108)+SUM(T108:V108)+AN108+AT108+SUM(CD108:CF108),5)</f>
        <v>-26724639.550000001</v>
      </c>
    </row>
    <row r="109" spans="1:92" ht="15" thickTop="1"/>
    <row r="110" spans="1:92" customFormat="1" ht="15"/>
  </sheetData>
  <pageMargins left="0.7" right="0.7" top="0.75" bottom="0.75" header="0.1" footer="0.3"/>
  <pageSetup orientation="portrait"/>
  <headerFooter>
    <oddFooter>&amp;R&amp;"Arial,Bold"&amp;8 Page &amp;P of &amp;N</oddFooter>
  </headerFooter>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4"/>
  <sheetViews>
    <sheetView zoomScale="120" zoomScaleNormal="120" zoomScalePageLayoutView="120" workbookViewId="0">
      <pane xSplit="7" ySplit="6" topLeftCell="H7" activePane="bottomRight" state="frozenSplit"/>
      <selection pane="topRight" activeCell="H1" sqref="H1"/>
      <selection pane="bottomLeft" activeCell="A7" sqref="A7"/>
      <selection pane="bottomRight" activeCell="I1" sqref="I1"/>
    </sheetView>
  </sheetViews>
  <sheetFormatPr baseColWidth="10" defaultColWidth="8.83203125" defaultRowHeight="14" x14ac:dyDescent="0"/>
  <cols>
    <col min="1" max="6" width="3" style="216" customWidth="1"/>
    <col min="7" max="7" width="27.1640625" style="216" customWidth="1"/>
    <col min="8" max="18" width="10.5" style="217" customWidth="1"/>
    <col min="19" max="19" width="12.33203125" style="217" bestFit="1" customWidth="1"/>
    <col min="20" max="16384" width="8.83203125" style="212"/>
  </cols>
  <sheetData>
    <row r="1" spans="1:19" ht="15">
      <c r="A1" s="224" t="s">
        <v>400</v>
      </c>
      <c r="B1" s="209"/>
      <c r="C1" s="209"/>
      <c r="D1" s="209"/>
      <c r="E1" s="209"/>
      <c r="F1" s="209"/>
      <c r="G1" s="209"/>
      <c r="H1" s="225"/>
      <c r="I1" s="357" t="s">
        <v>661</v>
      </c>
      <c r="J1" s="225"/>
      <c r="K1" s="225"/>
      <c r="L1" s="225"/>
      <c r="M1" s="225"/>
      <c r="N1" s="225"/>
      <c r="O1" s="225"/>
      <c r="P1" s="225"/>
      <c r="Q1" s="225"/>
      <c r="R1" s="225"/>
      <c r="S1" s="226" t="s">
        <v>401</v>
      </c>
    </row>
    <row r="2" spans="1:19" ht="17">
      <c r="A2" s="227" t="s">
        <v>402</v>
      </c>
      <c r="B2" s="209"/>
      <c r="C2" s="209"/>
      <c r="D2" s="209"/>
      <c r="E2" s="209"/>
      <c r="F2" s="209"/>
      <c r="G2" s="209"/>
      <c r="H2" s="225"/>
      <c r="I2" s="225"/>
      <c r="J2" s="225"/>
      <c r="K2" s="225"/>
      <c r="L2" s="225"/>
      <c r="M2" s="225"/>
      <c r="N2" s="225"/>
      <c r="O2" s="225"/>
      <c r="P2" s="225"/>
      <c r="Q2" s="225"/>
      <c r="R2" s="225"/>
      <c r="S2" s="228">
        <v>42244</v>
      </c>
    </row>
    <row r="3" spans="1:19">
      <c r="A3" s="229" t="s">
        <v>403</v>
      </c>
      <c r="B3" s="209"/>
      <c r="C3" s="209"/>
      <c r="D3" s="209"/>
      <c r="E3" s="209"/>
      <c r="F3" s="209"/>
      <c r="G3" s="209"/>
      <c r="H3" s="225"/>
      <c r="I3" s="225"/>
      <c r="J3" s="225"/>
      <c r="K3" s="225"/>
      <c r="L3" s="225"/>
      <c r="M3" s="225"/>
      <c r="N3" s="225"/>
      <c r="O3" s="225"/>
      <c r="P3" s="225"/>
      <c r="Q3" s="225"/>
      <c r="R3" s="225"/>
      <c r="S3" s="226" t="s">
        <v>404</v>
      </c>
    </row>
    <row r="4" spans="1:19">
      <c r="A4" s="209"/>
      <c r="B4" s="209"/>
      <c r="C4" s="209"/>
      <c r="D4" s="209"/>
      <c r="E4" s="209"/>
      <c r="F4" s="209"/>
      <c r="G4" s="209"/>
      <c r="H4" s="230" t="s">
        <v>348</v>
      </c>
      <c r="I4" s="231"/>
      <c r="J4" s="354" t="s">
        <v>10</v>
      </c>
      <c r="K4" s="354" t="s">
        <v>11</v>
      </c>
      <c r="L4" s="354" t="s">
        <v>13</v>
      </c>
      <c r="M4" s="354" t="s">
        <v>352</v>
      </c>
      <c r="N4" s="354" t="s">
        <v>88</v>
      </c>
      <c r="O4" s="354" t="s">
        <v>355</v>
      </c>
      <c r="P4" s="312" t="s">
        <v>356</v>
      </c>
      <c r="Q4" s="230"/>
      <c r="R4" s="231"/>
      <c r="S4" s="231"/>
    </row>
    <row r="5" spans="1:19" s="352" customFormat="1" ht="36" customHeight="1" thickBot="1">
      <c r="A5" s="350"/>
      <c r="B5" s="350"/>
      <c r="C5" s="350"/>
      <c r="D5" s="350"/>
      <c r="E5" s="350"/>
      <c r="F5" s="350"/>
      <c r="G5" s="350"/>
      <c r="H5" s="351" t="s">
        <v>368</v>
      </c>
      <c r="I5" s="351" t="s">
        <v>369</v>
      </c>
      <c r="J5" s="351" t="s">
        <v>372</v>
      </c>
      <c r="K5" s="351" t="s">
        <v>372</v>
      </c>
      <c r="L5" s="351" t="s">
        <v>372</v>
      </c>
      <c r="M5" s="351" t="s">
        <v>373</v>
      </c>
      <c r="N5" s="351" t="s">
        <v>375</v>
      </c>
      <c r="O5" s="351" t="s">
        <v>375</v>
      </c>
      <c r="P5" s="351" t="s">
        <v>373</v>
      </c>
      <c r="Q5" s="351" t="s">
        <v>373</v>
      </c>
      <c r="R5" s="351" t="s">
        <v>376</v>
      </c>
      <c r="S5" s="351" t="s">
        <v>90</v>
      </c>
    </row>
    <row r="6" spans="1:19" s="208" customFormat="1" ht="16" thickTop="1" thickBot="1">
      <c r="A6" s="205"/>
      <c r="B6" s="205"/>
      <c r="C6" s="205"/>
      <c r="D6" s="205"/>
      <c r="E6" s="205"/>
      <c r="F6" s="205"/>
      <c r="G6" s="205"/>
      <c r="H6" s="232" t="s">
        <v>405</v>
      </c>
      <c r="I6" s="232" t="s">
        <v>405</v>
      </c>
      <c r="J6" s="232" t="s">
        <v>405</v>
      </c>
      <c r="K6" s="232" t="s">
        <v>405</v>
      </c>
      <c r="L6" s="232" t="s">
        <v>405</v>
      </c>
      <c r="M6" s="232" t="s">
        <v>405</v>
      </c>
      <c r="N6" s="232" t="s">
        <v>405</v>
      </c>
      <c r="O6" s="232" t="s">
        <v>405</v>
      </c>
      <c r="P6" s="232" t="s">
        <v>405</v>
      </c>
      <c r="Q6" s="232" t="s">
        <v>405</v>
      </c>
      <c r="R6" s="232" t="s">
        <v>405</v>
      </c>
      <c r="S6" s="232" t="s">
        <v>405</v>
      </c>
    </row>
    <row r="7" spans="1:19" ht="15" thickTop="1">
      <c r="A7" s="209"/>
      <c r="B7" s="209" t="s">
        <v>104</v>
      </c>
      <c r="C7" s="209"/>
      <c r="D7" s="209"/>
      <c r="E7" s="209"/>
      <c r="F7" s="209"/>
      <c r="G7" s="209"/>
      <c r="H7" s="210"/>
      <c r="I7" s="210"/>
      <c r="J7" s="210"/>
      <c r="K7" s="210"/>
      <c r="L7" s="210"/>
      <c r="M7" s="210"/>
      <c r="N7" s="210"/>
      <c r="O7" s="210"/>
      <c r="P7" s="210"/>
      <c r="Q7" s="210"/>
      <c r="R7" s="210"/>
      <c r="S7" s="210"/>
    </row>
    <row r="8" spans="1:19">
      <c r="A8" s="209"/>
      <c r="B8" s="209"/>
      <c r="C8" s="209"/>
      <c r="D8" s="209" t="s">
        <v>105</v>
      </c>
      <c r="E8" s="209"/>
      <c r="F8" s="209"/>
      <c r="G8" s="209"/>
      <c r="H8" s="210"/>
      <c r="I8" s="210"/>
      <c r="J8" s="210"/>
      <c r="K8" s="210"/>
      <c r="L8" s="210"/>
      <c r="M8" s="210"/>
      <c r="N8" s="210"/>
      <c r="O8" s="210"/>
      <c r="P8" s="210"/>
      <c r="Q8" s="210"/>
      <c r="R8" s="210"/>
      <c r="S8" s="210"/>
    </row>
    <row r="9" spans="1:19">
      <c r="A9" s="209"/>
      <c r="B9" s="209"/>
      <c r="C9" s="209"/>
      <c r="D9" s="209"/>
      <c r="E9" s="209" t="s">
        <v>106</v>
      </c>
      <c r="F9" s="209"/>
      <c r="G9" s="209"/>
      <c r="H9" s="210"/>
      <c r="I9" s="210"/>
      <c r="J9" s="210"/>
      <c r="K9" s="210"/>
      <c r="L9" s="210"/>
      <c r="M9" s="210"/>
      <c r="N9" s="210"/>
      <c r="O9" s="210"/>
      <c r="P9" s="210"/>
      <c r="Q9" s="210"/>
      <c r="R9" s="210"/>
      <c r="S9" s="210"/>
    </row>
    <row r="10" spans="1:19">
      <c r="A10" s="209"/>
      <c r="B10" s="209"/>
      <c r="C10" s="209"/>
      <c r="D10" s="209"/>
      <c r="E10" s="209"/>
      <c r="F10" s="209" t="s">
        <v>107</v>
      </c>
      <c r="G10" s="209"/>
      <c r="H10" s="210"/>
      <c r="I10" s="210"/>
      <c r="J10" s="210">
        <v>0</v>
      </c>
      <c r="K10" s="210">
        <v>469800</v>
      </c>
      <c r="L10" s="210"/>
      <c r="M10" s="210">
        <f>ROUND(SUM(J10:L10),5)</f>
        <v>469800</v>
      </c>
      <c r="N10" s="210"/>
      <c r="O10" s="210"/>
      <c r="P10" s="210"/>
      <c r="Q10" s="210">
        <v>0</v>
      </c>
      <c r="R10" s="210">
        <f>ROUND(M10+SUM(P10:Q10),5)</f>
        <v>469800</v>
      </c>
      <c r="S10" s="210">
        <f>ROUND(I10+R10,5)</f>
        <v>469800</v>
      </c>
    </row>
    <row r="11" spans="1:19">
      <c r="A11" s="209"/>
      <c r="B11" s="209"/>
      <c r="C11" s="209"/>
      <c r="D11" s="209"/>
      <c r="E11" s="209"/>
      <c r="F11" s="209" t="s">
        <v>108</v>
      </c>
      <c r="G11" s="209"/>
      <c r="H11" s="210">
        <v>0</v>
      </c>
      <c r="I11" s="210">
        <f>H11</f>
        <v>0</v>
      </c>
      <c r="J11" s="210">
        <v>0</v>
      </c>
      <c r="K11" s="210">
        <v>0</v>
      </c>
      <c r="L11" s="210">
        <v>7347495.8799999999</v>
      </c>
      <c r="M11" s="210">
        <f>ROUND(SUM(J11:L11),5)</f>
        <v>7347495.8799999999</v>
      </c>
      <c r="N11" s="210">
        <v>0</v>
      </c>
      <c r="O11" s="210">
        <v>0</v>
      </c>
      <c r="P11" s="210">
        <f>ROUND(SUM(N11:O11),5)</f>
        <v>0</v>
      </c>
      <c r="Q11" s="210"/>
      <c r="R11" s="210">
        <f>ROUND(M11+SUM(P11:Q11),5)</f>
        <v>7347495.8799999999</v>
      </c>
      <c r="S11" s="210">
        <f>ROUND(I11+R11,5)</f>
        <v>7347495.8799999999</v>
      </c>
    </row>
    <row r="12" spans="1:19">
      <c r="A12" s="209"/>
      <c r="B12" s="209"/>
      <c r="C12" s="209"/>
      <c r="D12" s="209"/>
      <c r="E12" s="209"/>
      <c r="F12" s="209" t="s">
        <v>109</v>
      </c>
      <c r="G12" s="209"/>
      <c r="H12" s="210"/>
      <c r="I12" s="210"/>
      <c r="J12" s="210">
        <v>0</v>
      </c>
      <c r="K12" s="210">
        <v>0</v>
      </c>
      <c r="L12" s="210"/>
      <c r="M12" s="210">
        <f>ROUND(SUM(J12:L12),5)</f>
        <v>0</v>
      </c>
      <c r="N12" s="210"/>
      <c r="O12" s="210"/>
      <c r="P12" s="210"/>
      <c r="Q12" s="210"/>
      <c r="R12" s="210">
        <f>ROUND(M12+SUM(P12:Q12),5)</f>
        <v>0</v>
      </c>
      <c r="S12" s="210">
        <f>ROUND(I12+R12,5)</f>
        <v>0</v>
      </c>
    </row>
    <row r="13" spans="1:19" ht="15" thickBot="1">
      <c r="A13" s="209"/>
      <c r="B13" s="209"/>
      <c r="C13" s="209"/>
      <c r="D13" s="209"/>
      <c r="E13" s="209"/>
      <c r="F13" s="209" t="s">
        <v>110</v>
      </c>
      <c r="G13" s="209"/>
      <c r="H13" s="213">
        <v>0</v>
      </c>
      <c r="I13" s="213">
        <f>H13</f>
        <v>0</v>
      </c>
      <c r="J13" s="213">
        <v>0</v>
      </c>
      <c r="K13" s="213">
        <v>0</v>
      </c>
      <c r="L13" s="213">
        <v>118287.01</v>
      </c>
      <c r="M13" s="213">
        <f>ROUND(SUM(J13:L13),5)</f>
        <v>118287.01</v>
      </c>
      <c r="N13" s="213">
        <v>0</v>
      </c>
      <c r="O13" s="213">
        <v>0</v>
      </c>
      <c r="P13" s="213">
        <f>ROUND(SUM(N13:O13),5)</f>
        <v>0</v>
      </c>
      <c r="Q13" s="213">
        <v>0</v>
      </c>
      <c r="R13" s="213">
        <f>ROUND(M13+SUM(P13:Q13),5)</f>
        <v>118287.01</v>
      </c>
      <c r="S13" s="213">
        <f>ROUND(I13+R13,5)</f>
        <v>118287.01</v>
      </c>
    </row>
    <row r="14" spans="1:19">
      <c r="A14" s="209"/>
      <c r="B14" s="209"/>
      <c r="C14" s="209"/>
      <c r="D14" s="209"/>
      <c r="E14" s="209" t="s">
        <v>111</v>
      </c>
      <c r="F14" s="209"/>
      <c r="G14" s="209"/>
      <c r="H14" s="210">
        <f>ROUND(SUM(H9:H13),5)</f>
        <v>0</v>
      </c>
      <c r="I14" s="210">
        <f>H14</f>
        <v>0</v>
      </c>
      <c r="J14" s="210">
        <f>ROUND(SUM(J9:J13),5)</f>
        <v>0</v>
      </c>
      <c r="K14" s="210">
        <f>ROUND(SUM(K9:K13),5)</f>
        <v>469800</v>
      </c>
      <c r="L14" s="210">
        <f>ROUND(SUM(L9:L13),5)</f>
        <v>7465782.8899999997</v>
      </c>
      <c r="M14" s="210">
        <f>ROUND(SUM(J14:L14),5)</f>
        <v>7935582.8899999997</v>
      </c>
      <c r="N14" s="210">
        <f>ROUND(SUM(N9:N13),5)</f>
        <v>0</v>
      </c>
      <c r="O14" s="210">
        <f>ROUND(SUM(O9:O13),5)</f>
        <v>0</v>
      </c>
      <c r="P14" s="210">
        <f>ROUND(SUM(N14:O14),5)</f>
        <v>0</v>
      </c>
      <c r="Q14" s="210">
        <f>ROUND(SUM(Q9:Q13),5)</f>
        <v>0</v>
      </c>
      <c r="R14" s="210">
        <f>ROUND(M14+SUM(P14:Q14),5)</f>
        <v>7935582.8899999997</v>
      </c>
      <c r="S14" s="210">
        <f>ROUND(I14+R14,5)</f>
        <v>7935582.8899999997</v>
      </c>
    </row>
    <row r="15" spans="1:19">
      <c r="A15" s="209"/>
      <c r="B15" s="209"/>
      <c r="C15" s="209"/>
      <c r="D15" s="209"/>
      <c r="E15" s="209" t="s">
        <v>76</v>
      </c>
      <c r="F15" s="209"/>
      <c r="G15" s="209"/>
      <c r="H15" s="210"/>
      <c r="I15" s="210"/>
      <c r="J15" s="210"/>
      <c r="K15" s="210"/>
      <c r="L15" s="210"/>
      <c r="M15" s="210"/>
      <c r="N15" s="210"/>
      <c r="O15" s="210"/>
      <c r="P15" s="210"/>
      <c r="Q15" s="210"/>
      <c r="R15" s="210"/>
      <c r="S15" s="210"/>
    </row>
    <row r="16" spans="1:19">
      <c r="A16" s="209"/>
      <c r="B16" s="209"/>
      <c r="C16" s="209"/>
      <c r="D16" s="209"/>
      <c r="E16" s="209"/>
      <c r="F16" s="209" t="s">
        <v>113</v>
      </c>
      <c r="G16" s="209"/>
      <c r="H16" s="210"/>
      <c r="I16" s="210"/>
      <c r="J16" s="210">
        <v>0</v>
      </c>
      <c r="K16" s="210">
        <v>7516.8</v>
      </c>
      <c r="L16" s="210"/>
      <c r="M16" s="210">
        <f>ROUND(SUM(J16:L16),5)</f>
        <v>7516.8</v>
      </c>
      <c r="N16" s="210"/>
      <c r="O16" s="210"/>
      <c r="P16" s="210"/>
      <c r="Q16" s="210">
        <v>0</v>
      </c>
      <c r="R16" s="210">
        <f t="shared" ref="R16:R21" si="0">ROUND(M16+SUM(P16:Q16),5)</f>
        <v>7516.8</v>
      </c>
      <c r="S16" s="210">
        <f t="shared" ref="S16:S21" si="1">ROUND(I16+R16,5)</f>
        <v>7516.8</v>
      </c>
    </row>
    <row r="17" spans="1:19">
      <c r="A17" s="209"/>
      <c r="B17" s="209"/>
      <c r="C17" s="209"/>
      <c r="D17" s="209"/>
      <c r="E17" s="209"/>
      <c r="F17" s="209" t="s">
        <v>112</v>
      </c>
      <c r="G17" s="209"/>
      <c r="H17" s="210">
        <v>0</v>
      </c>
      <c r="I17" s="210">
        <f>H17</f>
        <v>0</v>
      </c>
      <c r="J17" s="210"/>
      <c r="K17" s="210"/>
      <c r="L17" s="210">
        <v>8360.93</v>
      </c>
      <c r="M17" s="210">
        <f>ROUND(SUM(J17:L17),5)</f>
        <v>8360.93</v>
      </c>
      <c r="N17" s="210">
        <v>822.22</v>
      </c>
      <c r="O17" s="210">
        <v>6444.48</v>
      </c>
      <c r="P17" s="210">
        <f>ROUND(SUM(N17:O17),5)</f>
        <v>7266.7</v>
      </c>
      <c r="Q17" s="210"/>
      <c r="R17" s="210">
        <f t="shared" si="0"/>
        <v>15627.63</v>
      </c>
      <c r="S17" s="210">
        <f t="shared" si="1"/>
        <v>15627.63</v>
      </c>
    </row>
    <row r="18" spans="1:19">
      <c r="A18" s="209"/>
      <c r="B18" s="209"/>
      <c r="C18" s="209"/>
      <c r="D18" s="209"/>
      <c r="E18" s="209"/>
      <c r="F18" s="209" t="s">
        <v>114</v>
      </c>
      <c r="G18" s="209"/>
      <c r="H18" s="210">
        <v>0</v>
      </c>
      <c r="I18" s="210">
        <f>H18</f>
        <v>0</v>
      </c>
      <c r="J18" s="210">
        <v>0</v>
      </c>
      <c r="K18" s="210">
        <v>0</v>
      </c>
      <c r="L18" s="210">
        <v>74217.149999999994</v>
      </c>
      <c r="M18" s="210">
        <f>ROUND(SUM(J18:L18),5)</f>
        <v>74217.149999999994</v>
      </c>
      <c r="N18" s="210">
        <v>0</v>
      </c>
      <c r="O18" s="210">
        <v>0</v>
      </c>
      <c r="P18" s="210">
        <f>ROUND(SUM(N18:O18),5)</f>
        <v>0</v>
      </c>
      <c r="Q18" s="210"/>
      <c r="R18" s="210">
        <f t="shared" si="0"/>
        <v>74217.149999999994</v>
      </c>
      <c r="S18" s="210">
        <f t="shared" si="1"/>
        <v>74217.149999999994</v>
      </c>
    </row>
    <row r="19" spans="1:19">
      <c r="A19" s="209"/>
      <c r="B19" s="209"/>
      <c r="C19" s="209"/>
      <c r="D19" s="209"/>
      <c r="E19" s="209"/>
      <c r="F19" s="209" t="s">
        <v>115</v>
      </c>
      <c r="G19" s="209"/>
      <c r="H19" s="210"/>
      <c r="I19" s="210"/>
      <c r="J19" s="210">
        <v>0</v>
      </c>
      <c r="K19" s="210">
        <v>0</v>
      </c>
      <c r="L19" s="210"/>
      <c r="M19" s="210">
        <f>ROUND(SUM(J19:L19),5)</f>
        <v>0</v>
      </c>
      <c r="N19" s="210"/>
      <c r="O19" s="210"/>
      <c r="P19" s="210"/>
      <c r="Q19" s="210"/>
      <c r="R19" s="210">
        <f t="shared" si="0"/>
        <v>0</v>
      </c>
      <c r="S19" s="210">
        <f t="shared" si="1"/>
        <v>0</v>
      </c>
    </row>
    <row r="20" spans="1:19" ht="15" thickBot="1">
      <c r="A20" s="209"/>
      <c r="B20" s="209"/>
      <c r="C20" s="209"/>
      <c r="D20" s="209"/>
      <c r="E20" s="209"/>
      <c r="F20" s="209" t="s">
        <v>116</v>
      </c>
      <c r="G20" s="209"/>
      <c r="H20" s="213"/>
      <c r="I20" s="213"/>
      <c r="J20" s="213"/>
      <c r="K20" s="213"/>
      <c r="L20" s="213"/>
      <c r="M20" s="213"/>
      <c r="N20" s="213"/>
      <c r="O20" s="213">
        <v>0</v>
      </c>
      <c r="P20" s="213">
        <f>ROUND(SUM(N20:O20),5)</f>
        <v>0</v>
      </c>
      <c r="Q20" s="213">
        <v>0</v>
      </c>
      <c r="R20" s="213">
        <f t="shared" si="0"/>
        <v>0</v>
      </c>
      <c r="S20" s="213">
        <f t="shared" si="1"/>
        <v>0</v>
      </c>
    </row>
    <row r="21" spans="1:19">
      <c r="A21" s="209"/>
      <c r="B21" s="209"/>
      <c r="C21" s="209"/>
      <c r="D21" s="209"/>
      <c r="E21" s="209" t="s">
        <v>117</v>
      </c>
      <c r="F21" s="209"/>
      <c r="G21" s="209"/>
      <c r="H21" s="210">
        <f>ROUND(SUM(H15:H20),5)</f>
        <v>0</v>
      </c>
      <c r="I21" s="210">
        <f>H21</f>
        <v>0</v>
      </c>
      <c r="J21" s="210">
        <f>ROUND(SUM(J15:J20),5)</f>
        <v>0</v>
      </c>
      <c r="K21" s="210">
        <f>ROUND(SUM(K15:K20),5)</f>
        <v>7516.8</v>
      </c>
      <c r="L21" s="210">
        <f>ROUND(SUM(L15:L20),5)</f>
        <v>82578.080000000002</v>
      </c>
      <c r="M21" s="210">
        <f>ROUND(SUM(J21:L21),5)</f>
        <v>90094.88</v>
      </c>
      <c r="N21" s="210">
        <f>ROUND(SUM(N15:N20),5)</f>
        <v>822.22</v>
      </c>
      <c r="O21" s="210">
        <f>ROUND(SUM(O15:O20),5)</f>
        <v>6444.48</v>
      </c>
      <c r="P21" s="210">
        <f>ROUND(SUM(N21:O21),5)</f>
        <v>7266.7</v>
      </c>
      <c r="Q21" s="210">
        <f>ROUND(SUM(Q15:Q20),5)</f>
        <v>0</v>
      </c>
      <c r="R21" s="210">
        <f t="shared" si="0"/>
        <v>97361.58</v>
      </c>
      <c r="S21" s="210">
        <f t="shared" si="1"/>
        <v>97361.58</v>
      </c>
    </row>
    <row r="22" spans="1:19">
      <c r="A22" s="209"/>
      <c r="B22" s="209"/>
      <c r="C22" s="209"/>
      <c r="D22" s="209"/>
      <c r="E22" s="209" t="s">
        <v>75</v>
      </c>
      <c r="F22" s="209"/>
      <c r="G22" s="209"/>
      <c r="H22" s="210"/>
      <c r="I22" s="210"/>
      <c r="J22" s="210"/>
      <c r="K22" s="210"/>
      <c r="L22" s="210"/>
      <c r="M22" s="210"/>
      <c r="N22" s="210"/>
      <c r="O22" s="210"/>
      <c r="P22" s="210"/>
      <c r="Q22" s="210"/>
      <c r="R22" s="210"/>
      <c r="S22" s="210"/>
    </row>
    <row r="23" spans="1:19">
      <c r="A23" s="209"/>
      <c r="B23" s="209"/>
      <c r="C23" s="209"/>
      <c r="D23" s="209"/>
      <c r="E23" s="209"/>
      <c r="F23" s="209" t="s">
        <v>124</v>
      </c>
      <c r="G23" s="209"/>
      <c r="H23" s="210"/>
      <c r="I23" s="210"/>
      <c r="J23" s="210">
        <v>147.30000000000001</v>
      </c>
      <c r="K23" s="210"/>
      <c r="L23" s="210"/>
      <c r="M23" s="210">
        <f t="shared" ref="M23:M30" si="2">ROUND(SUM(J23:L23),5)</f>
        <v>147.30000000000001</v>
      </c>
      <c r="N23" s="210"/>
      <c r="O23" s="210"/>
      <c r="P23" s="210"/>
      <c r="Q23" s="210">
        <v>0</v>
      </c>
      <c r="R23" s="210">
        <f t="shared" ref="R23:R30" si="3">ROUND(M23+SUM(P23:Q23),5)</f>
        <v>147.30000000000001</v>
      </c>
      <c r="S23" s="210">
        <f t="shared" ref="S23:S30" si="4">ROUND(I23+R23,5)</f>
        <v>147.30000000000001</v>
      </c>
    </row>
    <row r="24" spans="1:19">
      <c r="A24" s="209"/>
      <c r="B24" s="209"/>
      <c r="C24" s="209"/>
      <c r="D24" s="209"/>
      <c r="E24" s="209"/>
      <c r="F24" s="209" t="s">
        <v>119</v>
      </c>
      <c r="G24" s="209"/>
      <c r="H24" s="210">
        <v>0</v>
      </c>
      <c r="I24" s="210">
        <f t="shared" ref="I24:I30" si="5">H24</f>
        <v>0</v>
      </c>
      <c r="J24" s="210">
        <v>94.42</v>
      </c>
      <c r="K24" s="210">
        <v>295.74</v>
      </c>
      <c r="L24" s="210">
        <v>64657.760000000002</v>
      </c>
      <c r="M24" s="210">
        <f t="shared" si="2"/>
        <v>65047.92</v>
      </c>
      <c r="N24" s="210">
        <v>0</v>
      </c>
      <c r="O24" s="210">
        <v>0</v>
      </c>
      <c r="P24" s="210">
        <f t="shared" ref="P24:P30" si="6">ROUND(SUM(N24:O24),5)</f>
        <v>0</v>
      </c>
      <c r="Q24" s="210">
        <v>0</v>
      </c>
      <c r="R24" s="210">
        <f t="shared" si="3"/>
        <v>65047.92</v>
      </c>
      <c r="S24" s="210">
        <f t="shared" si="4"/>
        <v>65047.92</v>
      </c>
    </row>
    <row r="25" spans="1:19">
      <c r="A25" s="209"/>
      <c r="B25" s="209"/>
      <c r="C25" s="209"/>
      <c r="D25" s="209"/>
      <c r="E25" s="209"/>
      <c r="F25" s="209" t="s">
        <v>120</v>
      </c>
      <c r="G25" s="209"/>
      <c r="H25" s="210">
        <v>0</v>
      </c>
      <c r="I25" s="210">
        <f t="shared" si="5"/>
        <v>0</v>
      </c>
      <c r="J25" s="210">
        <v>0</v>
      </c>
      <c r="K25" s="210">
        <v>0</v>
      </c>
      <c r="L25" s="210">
        <v>0</v>
      </c>
      <c r="M25" s="210">
        <f t="shared" si="2"/>
        <v>0</v>
      </c>
      <c r="N25" s="210">
        <v>0</v>
      </c>
      <c r="O25" s="210">
        <v>0</v>
      </c>
      <c r="P25" s="210">
        <f t="shared" si="6"/>
        <v>0</v>
      </c>
      <c r="Q25" s="210">
        <v>0</v>
      </c>
      <c r="R25" s="210">
        <f t="shared" si="3"/>
        <v>0</v>
      </c>
      <c r="S25" s="210">
        <f t="shared" si="4"/>
        <v>0</v>
      </c>
    </row>
    <row r="26" spans="1:19">
      <c r="A26" s="209"/>
      <c r="B26" s="209"/>
      <c r="C26" s="209"/>
      <c r="D26" s="209"/>
      <c r="E26" s="209"/>
      <c r="F26" s="209" t="s">
        <v>121</v>
      </c>
      <c r="G26" s="209"/>
      <c r="H26" s="210">
        <v>0</v>
      </c>
      <c r="I26" s="210">
        <f t="shared" si="5"/>
        <v>0</v>
      </c>
      <c r="J26" s="210">
        <v>0</v>
      </c>
      <c r="K26" s="210">
        <v>0</v>
      </c>
      <c r="L26" s="210">
        <v>0</v>
      </c>
      <c r="M26" s="210">
        <f t="shared" si="2"/>
        <v>0</v>
      </c>
      <c r="N26" s="210">
        <v>0</v>
      </c>
      <c r="O26" s="210">
        <v>0</v>
      </c>
      <c r="P26" s="210">
        <f t="shared" si="6"/>
        <v>0</v>
      </c>
      <c r="Q26" s="210">
        <v>0</v>
      </c>
      <c r="R26" s="210">
        <f t="shared" si="3"/>
        <v>0</v>
      </c>
      <c r="S26" s="210">
        <f t="shared" si="4"/>
        <v>0</v>
      </c>
    </row>
    <row r="27" spans="1:19">
      <c r="A27" s="209"/>
      <c r="B27" s="209"/>
      <c r="C27" s="209"/>
      <c r="D27" s="209"/>
      <c r="E27" s="209"/>
      <c r="F27" s="209" t="s">
        <v>118</v>
      </c>
      <c r="G27" s="209"/>
      <c r="H27" s="210">
        <v>0</v>
      </c>
      <c r="I27" s="210">
        <f t="shared" si="5"/>
        <v>0</v>
      </c>
      <c r="J27" s="210">
        <v>0</v>
      </c>
      <c r="K27" s="210">
        <v>461.34</v>
      </c>
      <c r="L27" s="210">
        <v>86309.6</v>
      </c>
      <c r="M27" s="210">
        <f t="shared" si="2"/>
        <v>86770.94</v>
      </c>
      <c r="N27" s="210">
        <v>0</v>
      </c>
      <c r="O27" s="210">
        <v>0</v>
      </c>
      <c r="P27" s="210">
        <f t="shared" si="6"/>
        <v>0</v>
      </c>
      <c r="Q27" s="210">
        <v>0</v>
      </c>
      <c r="R27" s="210">
        <f t="shared" si="3"/>
        <v>86770.94</v>
      </c>
      <c r="S27" s="210">
        <f t="shared" si="4"/>
        <v>86770.94</v>
      </c>
    </row>
    <row r="28" spans="1:19">
      <c r="A28" s="209"/>
      <c r="B28" s="209"/>
      <c r="C28" s="209"/>
      <c r="D28" s="209"/>
      <c r="E28" s="209"/>
      <c r="F28" s="209" t="s">
        <v>123</v>
      </c>
      <c r="G28" s="209"/>
      <c r="H28" s="210">
        <v>0</v>
      </c>
      <c r="I28" s="210">
        <f t="shared" si="5"/>
        <v>0</v>
      </c>
      <c r="J28" s="210">
        <v>1.18</v>
      </c>
      <c r="K28" s="210">
        <v>3.68</v>
      </c>
      <c r="L28" s="210">
        <v>1681.44</v>
      </c>
      <c r="M28" s="210">
        <f t="shared" si="2"/>
        <v>1686.3</v>
      </c>
      <c r="N28" s="210">
        <v>0</v>
      </c>
      <c r="O28" s="210">
        <v>0</v>
      </c>
      <c r="P28" s="210">
        <f t="shared" si="6"/>
        <v>0</v>
      </c>
      <c r="Q28" s="210">
        <v>0</v>
      </c>
      <c r="R28" s="210">
        <f t="shared" si="3"/>
        <v>1686.3</v>
      </c>
      <c r="S28" s="210">
        <f t="shared" si="4"/>
        <v>1686.3</v>
      </c>
    </row>
    <row r="29" spans="1:19" ht="15" thickBot="1">
      <c r="A29" s="209"/>
      <c r="B29" s="209"/>
      <c r="C29" s="209"/>
      <c r="D29" s="209"/>
      <c r="E29" s="209"/>
      <c r="F29" s="209" t="s">
        <v>125</v>
      </c>
      <c r="G29" s="209"/>
      <c r="H29" s="213">
        <v>0</v>
      </c>
      <c r="I29" s="213">
        <f t="shared" si="5"/>
        <v>0</v>
      </c>
      <c r="J29" s="213">
        <v>0</v>
      </c>
      <c r="K29" s="213">
        <v>0.02</v>
      </c>
      <c r="L29" s="213">
        <v>5706.64</v>
      </c>
      <c r="M29" s="213">
        <f t="shared" si="2"/>
        <v>5706.66</v>
      </c>
      <c r="N29" s="213">
        <v>0</v>
      </c>
      <c r="O29" s="213">
        <v>0</v>
      </c>
      <c r="P29" s="213">
        <f t="shared" si="6"/>
        <v>0</v>
      </c>
      <c r="Q29" s="213">
        <v>0</v>
      </c>
      <c r="R29" s="213">
        <f t="shared" si="3"/>
        <v>5706.66</v>
      </c>
      <c r="S29" s="213">
        <f t="shared" si="4"/>
        <v>5706.66</v>
      </c>
    </row>
    <row r="30" spans="1:19">
      <c r="A30" s="209"/>
      <c r="B30" s="209"/>
      <c r="C30" s="209"/>
      <c r="D30" s="209"/>
      <c r="E30" s="209" t="s">
        <v>127</v>
      </c>
      <c r="F30" s="209"/>
      <c r="G30" s="209"/>
      <c r="H30" s="210">
        <f>ROUND(SUM(H22:H29),5)</f>
        <v>0</v>
      </c>
      <c r="I30" s="210">
        <f t="shared" si="5"/>
        <v>0</v>
      </c>
      <c r="J30" s="210">
        <f>ROUND(SUM(J22:J29),5)</f>
        <v>242.9</v>
      </c>
      <c r="K30" s="210">
        <f>ROUND(SUM(K22:K29),5)</f>
        <v>760.78</v>
      </c>
      <c r="L30" s="210">
        <f>ROUND(SUM(L22:L29),5)</f>
        <v>158355.44</v>
      </c>
      <c r="M30" s="210">
        <f t="shared" si="2"/>
        <v>159359.12</v>
      </c>
      <c r="N30" s="210">
        <f>ROUND(SUM(N22:N29),5)</f>
        <v>0</v>
      </c>
      <c r="O30" s="210">
        <f>ROUND(SUM(O22:O29),5)</f>
        <v>0</v>
      </c>
      <c r="P30" s="210">
        <f t="shared" si="6"/>
        <v>0</v>
      </c>
      <c r="Q30" s="210">
        <f>ROUND(SUM(Q22:Q29),5)</f>
        <v>0</v>
      </c>
      <c r="R30" s="210">
        <f t="shared" si="3"/>
        <v>159359.12</v>
      </c>
      <c r="S30" s="210">
        <f t="shared" si="4"/>
        <v>159359.12</v>
      </c>
    </row>
    <row r="31" spans="1:19">
      <c r="A31" s="209"/>
      <c r="B31" s="209"/>
      <c r="C31" s="209"/>
      <c r="D31" s="209"/>
      <c r="E31" s="209" t="s">
        <v>77</v>
      </c>
      <c r="F31" s="209"/>
      <c r="G31" s="209"/>
      <c r="H31" s="210"/>
      <c r="I31" s="210"/>
      <c r="J31" s="210"/>
      <c r="K31" s="210"/>
      <c r="L31" s="210"/>
      <c r="M31" s="210"/>
      <c r="N31" s="210"/>
      <c r="O31" s="210"/>
      <c r="P31" s="210"/>
      <c r="Q31" s="210"/>
      <c r="R31" s="210"/>
      <c r="S31" s="210"/>
    </row>
    <row r="32" spans="1:19">
      <c r="A32" s="209"/>
      <c r="B32" s="209"/>
      <c r="C32" s="209"/>
      <c r="D32" s="209"/>
      <c r="E32" s="209"/>
      <c r="F32" s="209" t="s">
        <v>124</v>
      </c>
      <c r="G32" s="209"/>
      <c r="H32" s="210"/>
      <c r="I32" s="210"/>
      <c r="J32" s="210">
        <v>49.1</v>
      </c>
      <c r="K32" s="210"/>
      <c r="L32" s="210"/>
      <c r="M32" s="210">
        <f t="shared" ref="M32:M39" si="7">ROUND(SUM(J32:L32),5)</f>
        <v>49.1</v>
      </c>
      <c r="N32" s="210"/>
      <c r="O32" s="210"/>
      <c r="P32" s="210"/>
      <c r="Q32" s="210">
        <v>0</v>
      </c>
      <c r="R32" s="210">
        <f t="shared" ref="R32:R39" si="8">ROUND(M32+SUM(P32:Q32),5)</f>
        <v>49.1</v>
      </c>
      <c r="S32" s="210">
        <f t="shared" ref="S32:S39" si="9">ROUND(I32+R32,5)</f>
        <v>49.1</v>
      </c>
    </row>
    <row r="33" spans="1:19">
      <c r="A33" s="209"/>
      <c r="B33" s="209"/>
      <c r="C33" s="209"/>
      <c r="D33" s="209"/>
      <c r="E33" s="209"/>
      <c r="F33" s="209" t="s">
        <v>119</v>
      </c>
      <c r="G33" s="209"/>
      <c r="H33" s="210">
        <v>364</v>
      </c>
      <c r="I33" s="210">
        <f t="shared" ref="I33:I39" si="10">H33</f>
        <v>364</v>
      </c>
      <c r="J33" s="210">
        <v>118.98</v>
      </c>
      <c r="K33" s="210">
        <v>372.62</v>
      </c>
      <c r="L33" s="210">
        <v>35756</v>
      </c>
      <c r="M33" s="210">
        <f t="shared" si="7"/>
        <v>36247.599999999999</v>
      </c>
      <c r="N33" s="210">
        <v>2296.29</v>
      </c>
      <c r="O33" s="210">
        <v>9407.43</v>
      </c>
      <c r="P33" s="210">
        <f t="shared" ref="P33:P39" si="11">ROUND(SUM(N33:O33),5)</f>
        <v>11703.72</v>
      </c>
      <c r="Q33" s="210">
        <v>0</v>
      </c>
      <c r="R33" s="210">
        <f t="shared" si="8"/>
        <v>47951.32</v>
      </c>
      <c r="S33" s="210">
        <f t="shared" si="9"/>
        <v>48315.32</v>
      </c>
    </row>
    <row r="34" spans="1:19">
      <c r="A34" s="209"/>
      <c r="B34" s="209"/>
      <c r="C34" s="209"/>
      <c r="D34" s="209"/>
      <c r="E34" s="209"/>
      <c r="F34" s="209" t="s">
        <v>120</v>
      </c>
      <c r="G34" s="209"/>
      <c r="H34" s="210">
        <v>0</v>
      </c>
      <c r="I34" s="210">
        <f t="shared" si="10"/>
        <v>0</v>
      </c>
      <c r="J34" s="210">
        <v>0</v>
      </c>
      <c r="K34" s="210">
        <v>0</v>
      </c>
      <c r="L34" s="210">
        <v>0</v>
      </c>
      <c r="M34" s="210">
        <f t="shared" si="7"/>
        <v>0</v>
      </c>
      <c r="N34" s="210">
        <v>0</v>
      </c>
      <c r="O34" s="210">
        <v>0</v>
      </c>
      <c r="P34" s="210">
        <f t="shared" si="11"/>
        <v>0</v>
      </c>
      <c r="Q34" s="210">
        <v>0</v>
      </c>
      <c r="R34" s="210">
        <f t="shared" si="8"/>
        <v>0</v>
      </c>
      <c r="S34" s="210">
        <f t="shared" si="9"/>
        <v>0</v>
      </c>
    </row>
    <row r="35" spans="1:19">
      <c r="A35" s="209"/>
      <c r="B35" s="209"/>
      <c r="C35" s="209"/>
      <c r="D35" s="209"/>
      <c r="E35" s="209"/>
      <c r="F35" s="209" t="s">
        <v>121</v>
      </c>
      <c r="G35" s="209"/>
      <c r="H35" s="210">
        <v>0</v>
      </c>
      <c r="I35" s="210">
        <f t="shared" si="10"/>
        <v>0</v>
      </c>
      <c r="J35" s="210">
        <v>0</v>
      </c>
      <c r="K35" s="210">
        <v>0</v>
      </c>
      <c r="L35" s="210">
        <v>0</v>
      </c>
      <c r="M35" s="210">
        <f t="shared" si="7"/>
        <v>0</v>
      </c>
      <c r="N35" s="210">
        <v>0</v>
      </c>
      <c r="O35" s="210">
        <v>0</v>
      </c>
      <c r="P35" s="210">
        <f t="shared" si="11"/>
        <v>0</v>
      </c>
      <c r="Q35" s="210">
        <v>0</v>
      </c>
      <c r="R35" s="210">
        <f t="shared" si="8"/>
        <v>0</v>
      </c>
      <c r="S35" s="210">
        <f t="shared" si="9"/>
        <v>0</v>
      </c>
    </row>
    <row r="36" spans="1:19">
      <c r="A36" s="209"/>
      <c r="B36" s="209"/>
      <c r="C36" s="209"/>
      <c r="D36" s="209"/>
      <c r="E36" s="209"/>
      <c r="F36" s="209" t="s">
        <v>118</v>
      </c>
      <c r="G36" s="209"/>
      <c r="H36" s="210">
        <v>732.24</v>
      </c>
      <c r="I36" s="210">
        <f t="shared" si="10"/>
        <v>732.24</v>
      </c>
      <c r="J36" s="210">
        <v>176.26</v>
      </c>
      <c r="K36" s="210">
        <v>705.82</v>
      </c>
      <c r="L36" s="210">
        <v>74051.73</v>
      </c>
      <c r="M36" s="210">
        <f t="shared" si="7"/>
        <v>74933.81</v>
      </c>
      <c r="N36" s="210">
        <v>2157.7800000000002</v>
      </c>
      <c r="O36" s="210">
        <v>9237.7800000000007</v>
      </c>
      <c r="P36" s="210">
        <f t="shared" si="11"/>
        <v>11395.56</v>
      </c>
      <c r="Q36" s="210">
        <v>0</v>
      </c>
      <c r="R36" s="210">
        <f t="shared" si="8"/>
        <v>86329.37</v>
      </c>
      <c r="S36" s="210">
        <f t="shared" si="9"/>
        <v>87061.61</v>
      </c>
    </row>
    <row r="37" spans="1:19">
      <c r="A37" s="209"/>
      <c r="B37" s="209"/>
      <c r="C37" s="209"/>
      <c r="D37" s="209"/>
      <c r="E37" s="209"/>
      <c r="F37" s="209" t="s">
        <v>123</v>
      </c>
      <c r="G37" s="209"/>
      <c r="H37" s="210">
        <v>12.21</v>
      </c>
      <c r="I37" s="210">
        <f t="shared" si="10"/>
        <v>12.21</v>
      </c>
      <c r="J37" s="210">
        <v>4.72</v>
      </c>
      <c r="K37" s="210">
        <v>14.8</v>
      </c>
      <c r="L37" s="210">
        <v>1222.97</v>
      </c>
      <c r="M37" s="210">
        <f t="shared" si="7"/>
        <v>1242.49</v>
      </c>
      <c r="N37" s="210">
        <v>7.12</v>
      </c>
      <c r="O37" s="210">
        <v>29.8</v>
      </c>
      <c r="P37" s="210">
        <f t="shared" si="11"/>
        <v>36.92</v>
      </c>
      <c r="Q37" s="210">
        <v>0</v>
      </c>
      <c r="R37" s="210">
        <f t="shared" si="8"/>
        <v>1279.4100000000001</v>
      </c>
      <c r="S37" s="210">
        <f t="shared" si="9"/>
        <v>1291.6199999999999</v>
      </c>
    </row>
    <row r="38" spans="1:19" ht="15" thickBot="1">
      <c r="A38" s="209"/>
      <c r="B38" s="209"/>
      <c r="C38" s="209"/>
      <c r="D38" s="209"/>
      <c r="E38" s="209"/>
      <c r="F38" s="209" t="s">
        <v>125</v>
      </c>
      <c r="G38" s="209"/>
      <c r="H38" s="213">
        <v>0</v>
      </c>
      <c r="I38" s="213">
        <f t="shared" si="10"/>
        <v>0</v>
      </c>
      <c r="J38" s="213">
        <v>0</v>
      </c>
      <c r="K38" s="213">
        <v>0</v>
      </c>
      <c r="L38" s="213">
        <v>0</v>
      </c>
      <c r="M38" s="213">
        <f t="shared" si="7"/>
        <v>0</v>
      </c>
      <c r="N38" s="213">
        <v>0</v>
      </c>
      <c r="O38" s="213">
        <v>0</v>
      </c>
      <c r="P38" s="213">
        <f t="shared" si="11"/>
        <v>0</v>
      </c>
      <c r="Q38" s="213">
        <v>0</v>
      </c>
      <c r="R38" s="213">
        <f t="shared" si="8"/>
        <v>0</v>
      </c>
      <c r="S38" s="213">
        <f t="shared" si="9"/>
        <v>0</v>
      </c>
    </row>
    <row r="39" spans="1:19">
      <c r="A39" s="209"/>
      <c r="B39" s="209"/>
      <c r="C39" s="209"/>
      <c r="D39" s="209"/>
      <c r="E39" s="209" t="s">
        <v>128</v>
      </c>
      <c r="F39" s="209"/>
      <c r="G39" s="209"/>
      <c r="H39" s="210">
        <f>ROUND(SUM(H31:H38),5)</f>
        <v>1108.45</v>
      </c>
      <c r="I39" s="210">
        <f t="shared" si="10"/>
        <v>1108.45</v>
      </c>
      <c r="J39" s="210">
        <f>ROUND(SUM(J31:J38),5)</f>
        <v>349.06</v>
      </c>
      <c r="K39" s="210">
        <f>ROUND(SUM(K31:K38),5)</f>
        <v>1093.24</v>
      </c>
      <c r="L39" s="210">
        <f>ROUND(SUM(L31:L38),5)</f>
        <v>111030.7</v>
      </c>
      <c r="M39" s="210">
        <f t="shared" si="7"/>
        <v>112473</v>
      </c>
      <c r="N39" s="210">
        <f>ROUND(SUM(N31:N38),5)</f>
        <v>4461.1899999999996</v>
      </c>
      <c r="O39" s="210">
        <f>ROUND(SUM(O31:O38),5)</f>
        <v>18675.009999999998</v>
      </c>
      <c r="P39" s="210">
        <f t="shared" si="11"/>
        <v>23136.2</v>
      </c>
      <c r="Q39" s="210">
        <f>ROUND(SUM(Q31:Q38),5)</f>
        <v>0</v>
      </c>
      <c r="R39" s="210">
        <f t="shared" si="8"/>
        <v>135609.20000000001</v>
      </c>
      <c r="S39" s="210">
        <f t="shared" si="9"/>
        <v>136717.65</v>
      </c>
    </row>
    <row r="40" spans="1:19">
      <c r="A40" s="209"/>
      <c r="B40" s="209"/>
      <c r="C40" s="209"/>
      <c r="D40" s="209"/>
      <c r="E40" s="209" t="s">
        <v>78</v>
      </c>
      <c r="F40" s="209"/>
      <c r="G40" s="209"/>
      <c r="H40" s="210"/>
      <c r="I40" s="210"/>
      <c r="J40" s="210"/>
      <c r="K40" s="210"/>
      <c r="L40" s="210"/>
      <c r="M40" s="210"/>
      <c r="N40" s="210"/>
      <c r="O40" s="210"/>
      <c r="P40" s="210"/>
      <c r="Q40" s="210"/>
      <c r="R40" s="210"/>
      <c r="S40" s="210"/>
    </row>
    <row r="41" spans="1:19">
      <c r="A41" s="209"/>
      <c r="B41" s="209"/>
      <c r="C41" s="209"/>
      <c r="D41" s="209"/>
      <c r="E41" s="209"/>
      <c r="F41" s="209" t="s">
        <v>137</v>
      </c>
      <c r="G41" s="209"/>
      <c r="H41" s="210"/>
      <c r="I41" s="210"/>
      <c r="J41" s="210"/>
      <c r="K41" s="210"/>
      <c r="L41" s="210"/>
      <c r="M41" s="210"/>
      <c r="N41" s="210"/>
      <c r="O41" s="210"/>
      <c r="P41" s="210"/>
      <c r="Q41" s="210"/>
      <c r="R41" s="210"/>
      <c r="S41" s="210"/>
    </row>
    <row r="42" spans="1:19">
      <c r="A42" s="209"/>
      <c r="B42" s="209"/>
      <c r="C42" s="209"/>
      <c r="D42" s="209"/>
      <c r="E42" s="209"/>
      <c r="F42" s="209"/>
      <c r="G42" s="209" t="s">
        <v>138</v>
      </c>
      <c r="H42" s="210">
        <v>49.8</v>
      </c>
      <c r="I42" s="210">
        <f t="shared" ref="I42:I47" si="12">H42</f>
        <v>49.8</v>
      </c>
      <c r="J42" s="210">
        <v>413.98</v>
      </c>
      <c r="K42" s="210">
        <v>1296.58</v>
      </c>
      <c r="L42" s="210">
        <v>13280</v>
      </c>
      <c r="M42" s="210">
        <f t="shared" ref="M42:M47" si="13">ROUND(SUM(J42:L42),5)</f>
        <v>14990.56</v>
      </c>
      <c r="N42" s="210">
        <v>340</v>
      </c>
      <c r="O42" s="210">
        <v>2380</v>
      </c>
      <c r="P42" s="210">
        <f t="shared" ref="P42:P47" si="14">ROUND(SUM(N42:O42),5)</f>
        <v>2720</v>
      </c>
      <c r="Q42" s="210">
        <v>60500</v>
      </c>
      <c r="R42" s="210">
        <f t="shared" ref="R42:R47" si="15">ROUND(M42+SUM(P42:Q42),5)</f>
        <v>78210.559999999998</v>
      </c>
      <c r="S42" s="210">
        <f t="shared" ref="S42:S47" si="16">ROUND(I42+R42,5)</f>
        <v>78260.36</v>
      </c>
    </row>
    <row r="43" spans="1:19">
      <c r="A43" s="209"/>
      <c r="B43" s="209"/>
      <c r="C43" s="209"/>
      <c r="D43" s="209"/>
      <c r="E43" s="209"/>
      <c r="F43" s="209"/>
      <c r="G43" s="209" t="s">
        <v>141</v>
      </c>
      <c r="H43" s="210">
        <v>0</v>
      </c>
      <c r="I43" s="210">
        <f t="shared" si="12"/>
        <v>0</v>
      </c>
      <c r="J43" s="210">
        <v>0</v>
      </c>
      <c r="K43" s="210">
        <v>0</v>
      </c>
      <c r="L43" s="210">
        <v>0</v>
      </c>
      <c r="M43" s="210">
        <f t="shared" si="13"/>
        <v>0</v>
      </c>
      <c r="N43" s="210">
        <v>0</v>
      </c>
      <c r="O43" s="210">
        <v>0</v>
      </c>
      <c r="P43" s="210">
        <f t="shared" si="14"/>
        <v>0</v>
      </c>
      <c r="Q43" s="210">
        <v>1200</v>
      </c>
      <c r="R43" s="210">
        <f t="shared" si="15"/>
        <v>1200</v>
      </c>
      <c r="S43" s="210">
        <f t="shared" si="16"/>
        <v>1200</v>
      </c>
    </row>
    <row r="44" spans="1:19">
      <c r="A44" s="209"/>
      <c r="B44" s="209"/>
      <c r="C44" s="209"/>
      <c r="D44" s="209"/>
      <c r="E44" s="209"/>
      <c r="F44" s="209"/>
      <c r="G44" s="209" t="s">
        <v>143</v>
      </c>
      <c r="H44" s="210">
        <v>0</v>
      </c>
      <c r="I44" s="210">
        <f t="shared" si="12"/>
        <v>0</v>
      </c>
      <c r="J44" s="210">
        <v>0</v>
      </c>
      <c r="K44" s="210">
        <v>0</v>
      </c>
      <c r="L44" s="210">
        <v>0</v>
      </c>
      <c r="M44" s="210">
        <f t="shared" si="13"/>
        <v>0</v>
      </c>
      <c r="N44" s="210">
        <v>0</v>
      </c>
      <c r="O44" s="210">
        <v>0</v>
      </c>
      <c r="P44" s="210">
        <f t="shared" si="14"/>
        <v>0</v>
      </c>
      <c r="Q44" s="210">
        <v>0</v>
      </c>
      <c r="R44" s="210">
        <f t="shared" si="15"/>
        <v>0</v>
      </c>
      <c r="S44" s="210">
        <f t="shared" si="16"/>
        <v>0</v>
      </c>
    </row>
    <row r="45" spans="1:19" ht="15" thickBot="1">
      <c r="A45" s="209"/>
      <c r="B45" s="209"/>
      <c r="C45" s="209"/>
      <c r="D45" s="209"/>
      <c r="E45" s="209"/>
      <c r="F45" s="209"/>
      <c r="G45" s="209" t="s">
        <v>144</v>
      </c>
      <c r="H45" s="213">
        <v>0.55000000000000004</v>
      </c>
      <c r="I45" s="213">
        <f t="shared" si="12"/>
        <v>0.55000000000000004</v>
      </c>
      <c r="J45" s="213">
        <v>0</v>
      </c>
      <c r="K45" s="213">
        <v>0</v>
      </c>
      <c r="L45" s="213">
        <v>188.32</v>
      </c>
      <c r="M45" s="213">
        <f t="shared" si="13"/>
        <v>188.32</v>
      </c>
      <c r="N45" s="213">
        <v>120</v>
      </c>
      <c r="O45" s="213">
        <v>840</v>
      </c>
      <c r="P45" s="213">
        <f t="shared" si="14"/>
        <v>960</v>
      </c>
      <c r="Q45" s="213">
        <v>600</v>
      </c>
      <c r="R45" s="213">
        <f t="shared" si="15"/>
        <v>1748.32</v>
      </c>
      <c r="S45" s="213">
        <f t="shared" si="16"/>
        <v>1748.87</v>
      </c>
    </row>
    <row r="46" spans="1:19">
      <c r="A46" s="209"/>
      <c r="B46" s="209"/>
      <c r="C46" s="209"/>
      <c r="D46" s="209"/>
      <c r="E46" s="209"/>
      <c r="F46" s="209" t="s">
        <v>146</v>
      </c>
      <c r="G46" s="209"/>
      <c r="H46" s="210">
        <f>ROUND(SUM(H41:H45),5)</f>
        <v>50.35</v>
      </c>
      <c r="I46" s="210">
        <f t="shared" si="12"/>
        <v>50.35</v>
      </c>
      <c r="J46" s="210">
        <f>ROUND(SUM(J41:J45),5)</f>
        <v>413.98</v>
      </c>
      <c r="K46" s="210">
        <f>ROUND(SUM(K41:K45),5)</f>
        <v>1296.58</v>
      </c>
      <c r="L46" s="210">
        <f>ROUND(SUM(L41:L45),5)</f>
        <v>13468.32</v>
      </c>
      <c r="M46" s="210">
        <f t="shared" si="13"/>
        <v>15178.88</v>
      </c>
      <c r="N46" s="210">
        <f>ROUND(SUM(N41:N45),5)</f>
        <v>460</v>
      </c>
      <c r="O46" s="210">
        <f>ROUND(SUM(O41:O45),5)</f>
        <v>3220</v>
      </c>
      <c r="P46" s="210">
        <f t="shared" si="14"/>
        <v>3680</v>
      </c>
      <c r="Q46" s="210">
        <f>ROUND(SUM(Q41:Q45),5)</f>
        <v>62300</v>
      </c>
      <c r="R46" s="210">
        <f t="shared" si="15"/>
        <v>81158.880000000005</v>
      </c>
      <c r="S46" s="210">
        <f t="shared" si="16"/>
        <v>81209.23</v>
      </c>
    </row>
    <row r="47" spans="1:19">
      <c r="A47" s="209"/>
      <c r="B47" s="209"/>
      <c r="C47" s="209"/>
      <c r="D47" s="209"/>
      <c r="E47" s="209"/>
      <c r="F47" s="209" t="s">
        <v>406</v>
      </c>
      <c r="G47" s="209"/>
      <c r="H47" s="210">
        <v>141.35</v>
      </c>
      <c r="I47" s="210">
        <f t="shared" si="12"/>
        <v>141.35</v>
      </c>
      <c r="J47" s="210"/>
      <c r="K47" s="210"/>
      <c r="L47" s="210">
        <v>38493.449999999997</v>
      </c>
      <c r="M47" s="210">
        <f t="shared" si="13"/>
        <v>38493.449999999997</v>
      </c>
      <c r="N47" s="210">
        <v>535.52</v>
      </c>
      <c r="O47" s="210">
        <v>3093.47</v>
      </c>
      <c r="P47" s="210">
        <f t="shared" si="14"/>
        <v>3628.99</v>
      </c>
      <c r="Q47" s="210">
        <v>0</v>
      </c>
      <c r="R47" s="210">
        <f t="shared" si="15"/>
        <v>42122.44</v>
      </c>
      <c r="S47" s="210">
        <f t="shared" si="16"/>
        <v>42263.79</v>
      </c>
    </row>
    <row r="48" spans="1:19">
      <c r="A48" s="209"/>
      <c r="B48" s="209"/>
      <c r="C48" s="209"/>
      <c r="D48" s="209"/>
      <c r="E48" s="209"/>
      <c r="F48" s="209" t="s">
        <v>147</v>
      </c>
      <c r="G48" s="209"/>
      <c r="H48" s="210"/>
      <c r="I48" s="210"/>
      <c r="J48" s="210"/>
      <c r="K48" s="210"/>
      <c r="L48" s="210"/>
      <c r="M48" s="210"/>
      <c r="N48" s="210"/>
      <c r="O48" s="210"/>
      <c r="P48" s="210"/>
      <c r="Q48" s="210"/>
      <c r="R48" s="210"/>
      <c r="S48" s="210"/>
    </row>
    <row r="49" spans="1:19">
      <c r="A49" s="209"/>
      <c r="B49" s="209"/>
      <c r="C49" s="209"/>
      <c r="D49" s="209"/>
      <c r="E49" s="209"/>
      <c r="F49" s="209"/>
      <c r="G49" s="209" t="s">
        <v>148</v>
      </c>
      <c r="H49" s="210">
        <v>0</v>
      </c>
      <c r="I49" s="210">
        <f t="shared" ref="I49:I55" si="17">H49</f>
        <v>0</v>
      </c>
      <c r="J49" s="210"/>
      <c r="K49" s="210"/>
      <c r="L49" s="210">
        <v>0</v>
      </c>
      <c r="M49" s="210">
        <f t="shared" ref="M49:M55" si="18">ROUND(SUM(J49:L49),5)</f>
        <v>0</v>
      </c>
      <c r="N49" s="210">
        <v>0</v>
      </c>
      <c r="O49" s="210">
        <v>0</v>
      </c>
      <c r="P49" s="210">
        <f t="shared" ref="P49:P55" si="19">ROUND(SUM(N49:O49),5)</f>
        <v>0</v>
      </c>
      <c r="Q49" s="210">
        <v>0</v>
      </c>
      <c r="R49" s="210">
        <f t="shared" ref="R49:R55" si="20">ROUND(M49+SUM(P49:Q49),5)</f>
        <v>0</v>
      </c>
      <c r="S49" s="210">
        <f t="shared" ref="S49:S55" si="21">ROUND(I49+R49,5)</f>
        <v>0</v>
      </c>
    </row>
    <row r="50" spans="1:19">
      <c r="A50" s="209"/>
      <c r="B50" s="209"/>
      <c r="C50" s="209"/>
      <c r="D50" s="209"/>
      <c r="E50" s="209"/>
      <c r="F50" s="209"/>
      <c r="G50" s="209" t="s">
        <v>150</v>
      </c>
      <c r="H50" s="210">
        <v>6.6</v>
      </c>
      <c r="I50" s="210">
        <f t="shared" si="17"/>
        <v>6.6</v>
      </c>
      <c r="J50" s="210">
        <v>12.58</v>
      </c>
      <c r="K50" s="210">
        <v>39.44</v>
      </c>
      <c r="L50" s="210">
        <v>2260.0100000000002</v>
      </c>
      <c r="M50" s="210">
        <f t="shared" si="18"/>
        <v>2312.0300000000002</v>
      </c>
      <c r="N50" s="210">
        <v>18.52</v>
      </c>
      <c r="O50" s="210">
        <v>129.63999999999999</v>
      </c>
      <c r="P50" s="210">
        <f t="shared" si="19"/>
        <v>148.16</v>
      </c>
      <c r="Q50" s="210">
        <v>1500</v>
      </c>
      <c r="R50" s="210">
        <f t="shared" si="20"/>
        <v>3960.19</v>
      </c>
      <c r="S50" s="210">
        <f t="shared" si="21"/>
        <v>3966.79</v>
      </c>
    </row>
    <row r="51" spans="1:19">
      <c r="A51" s="209"/>
      <c r="B51" s="209"/>
      <c r="C51" s="209"/>
      <c r="D51" s="209"/>
      <c r="E51" s="209"/>
      <c r="F51" s="209"/>
      <c r="G51" s="209" t="s">
        <v>152</v>
      </c>
      <c r="H51" s="210">
        <v>0</v>
      </c>
      <c r="I51" s="210">
        <f t="shared" si="17"/>
        <v>0</v>
      </c>
      <c r="J51" s="210">
        <v>0</v>
      </c>
      <c r="K51" s="210">
        <v>0</v>
      </c>
      <c r="L51" s="210">
        <v>0</v>
      </c>
      <c r="M51" s="210">
        <f t="shared" si="18"/>
        <v>0</v>
      </c>
      <c r="N51" s="210">
        <v>0</v>
      </c>
      <c r="O51" s="210">
        <v>0</v>
      </c>
      <c r="P51" s="210">
        <f t="shared" si="19"/>
        <v>0</v>
      </c>
      <c r="Q51" s="210">
        <v>400</v>
      </c>
      <c r="R51" s="210">
        <f t="shared" si="20"/>
        <v>400</v>
      </c>
      <c r="S51" s="210">
        <f t="shared" si="21"/>
        <v>400</v>
      </c>
    </row>
    <row r="52" spans="1:19">
      <c r="A52" s="209"/>
      <c r="B52" s="209"/>
      <c r="C52" s="209"/>
      <c r="D52" s="209"/>
      <c r="E52" s="209"/>
      <c r="F52" s="209"/>
      <c r="G52" s="209" t="s">
        <v>154</v>
      </c>
      <c r="H52" s="210">
        <v>0</v>
      </c>
      <c r="I52" s="210">
        <f t="shared" si="17"/>
        <v>0</v>
      </c>
      <c r="J52" s="210">
        <v>0</v>
      </c>
      <c r="K52" s="210">
        <v>0</v>
      </c>
      <c r="L52" s="210">
        <v>0</v>
      </c>
      <c r="M52" s="210">
        <f t="shared" si="18"/>
        <v>0</v>
      </c>
      <c r="N52" s="210">
        <v>0</v>
      </c>
      <c r="O52" s="210">
        <v>0</v>
      </c>
      <c r="P52" s="210">
        <f t="shared" si="19"/>
        <v>0</v>
      </c>
      <c r="Q52" s="210">
        <v>400</v>
      </c>
      <c r="R52" s="210">
        <f t="shared" si="20"/>
        <v>400</v>
      </c>
      <c r="S52" s="210">
        <f t="shared" si="21"/>
        <v>400</v>
      </c>
    </row>
    <row r="53" spans="1:19">
      <c r="A53" s="209"/>
      <c r="B53" s="209"/>
      <c r="C53" s="209"/>
      <c r="D53" s="209"/>
      <c r="E53" s="209"/>
      <c r="F53" s="209"/>
      <c r="G53" s="209" t="s">
        <v>156</v>
      </c>
      <c r="H53" s="210">
        <v>104.76</v>
      </c>
      <c r="I53" s="210">
        <f t="shared" si="17"/>
        <v>104.76</v>
      </c>
      <c r="J53" s="210">
        <v>230.84</v>
      </c>
      <c r="K53" s="210">
        <v>722.98</v>
      </c>
      <c r="L53" s="210">
        <v>35857.379999999997</v>
      </c>
      <c r="M53" s="210">
        <f t="shared" si="18"/>
        <v>36811.199999999997</v>
      </c>
      <c r="N53" s="210">
        <v>111.12</v>
      </c>
      <c r="O53" s="210">
        <v>777.78</v>
      </c>
      <c r="P53" s="210">
        <f t="shared" si="19"/>
        <v>888.9</v>
      </c>
      <c r="Q53" s="210">
        <v>40000</v>
      </c>
      <c r="R53" s="210">
        <f t="shared" si="20"/>
        <v>77700.100000000006</v>
      </c>
      <c r="S53" s="210">
        <f t="shared" si="21"/>
        <v>77804.86</v>
      </c>
    </row>
    <row r="54" spans="1:19" ht="15" thickBot="1">
      <c r="A54" s="209"/>
      <c r="B54" s="209"/>
      <c r="C54" s="209"/>
      <c r="D54" s="209"/>
      <c r="E54" s="209"/>
      <c r="F54" s="209"/>
      <c r="G54" s="209" t="s">
        <v>159</v>
      </c>
      <c r="H54" s="213">
        <v>37.42</v>
      </c>
      <c r="I54" s="213">
        <f t="shared" si="17"/>
        <v>37.42</v>
      </c>
      <c r="J54" s="213">
        <v>60.44</v>
      </c>
      <c r="K54" s="213">
        <v>189.26</v>
      </c>
      <c r="L54" s="213">
        <v>12062.54</v>
      </c>
      <c r="M54" s="213">
        <f t="shared" si="18"/>
        <v>12312.24</v>
      </c>
      <c r="N54" s="213">
        <v>261.12</v>
      </c>
      <c r="O54" s="213">
        <v>1827.78</v>
      </c>
      <c r="P54" s="213">
        <f t="shared" si="19"/>
        <v>2088.9</v>
      </c>
      <c r="Q54" s="213">
        <v>760</v>
      </c>
      <c r="R54" s="213">
        <f t="shared" si="20"/>
        <v>15161.14</v>
      </c>
      <c r="S54" s="213">
        <f t="shared" si="21"/>
        <v>15198.56</v>
      </c>
    </row>
    <row r="55" spans="1:19">
      <c r="A55" s="209"/>
      <c r="B55" s="209"/>
      <c r="C55" s="209"/>
      <c r="D55" s="209"/>
      <c r="E55" s="209"/>
      <c r="F55" s="209" t="s">
        <v>161</v>
      </c>
      <c r="G55" s="209"/>
      <c r="H55" s="210">
        <f>ROUND(SUM(H48:H54),5)</f>
        <v>148.78</v>
      </c>
      <c r="I55" s="210">
        <f t="shared" si="17"/>
        <v>148.78</v>
      </c>
      <c r="J55" s="210">
        <f>ROUND(SUM(J48:J54),5)</f>
        <v>303.86</v>
      </c>
      <c r="K55" s="210">
        <f>ROUND(SUM(K48:K54),5)</f>
        <v>951.68</v>
      </c>
      <c r="L55" s="210">
        <f>ROUND(SUM(L48:L54),5)</f>
        <v>50179.93</v>
      </c>
      <c r="M55" s="210">
        <f t="shared" si="18"/>
        <v>51435.47</v>
      </c>
      <c r="N55" s="210">
        <f>ROUND(SUM(N48:N54),5)</f>
        <v>390.76</v>
      </c>
      <c r="O55" s="210">
        <f>ROUND(SUM(O48:O54),5)</f>
        <v>2735.2</v>
      </c>
      <c r="P55" s="210">
        <f t="shared" si="19"/>
        <v>3125.96</v>
      </c>
      <c r="Q55" s="210">
        <f>ROUND(SUM(Q48:Q54),5)</f>
        <v>43060</v>
      </c>
      <c r="R55" s="210">
        <f t="shared" si="20"/>
        <v>97621.43</v>
      </c>
      <c r="S55" s="210">
        <f t="shared" si="21"/>
        <v>97770.21</v>
      </c>
    </row>
    <row r="56" spans="1:19">
      <c r="A56" s="209"/>
      <c r="B56" s="209"/>
      <c r="C56" s="209"/>
      <c r="D56" s="209"/>
      <c r="E56" s="209"/>
      <c r="F56" s="209" t="s">
        <v>162</v>
      </c>
      <c r="G56" s="209"/>
      <c r="H56" s="210"/>
      <c r="I56" s="210"/>
      <c r="J56" s="210"/>
      <c r="K56" s="210"/>
      <c r="L56" s="210"/>
      <c r="M56" s="210"/>
      <c r="N56" s="210"/>
      <c r="O56" s="210"/>
      <c r="P56" s="210"/>
      <c r="Q56" s="210"/>
      <c r="R56" s="210"/>
      <c r="S56" s="210"/>
    </row>
    <row r="57" spans="1:19">
      <c r="A57" s="209"/>
      <c r="B57" s="209"/>
      <c r="C57" s="209"/>
      <c r="D57" s="209"/>
      <c r="E57" s="209"/>
      <c r="F57" s="209"/>
      <c r="G57" s="209" t="s">
        <v>163</v>
      </c>
      <c r="H57" s="210">
        <v>0</v>
      </c>
      <c r="I57" s="210">
        <f>H57</f>
        <v>0</v>
      </c>
      <c r="J57" s="210">
        <v>0</v>
      </c>
      <c r="K57" s="210">
        <v>0</v>
      </c>
      <c r="L57" s="210">
        <v>0</v>
      </c>
      <c r="M57" s="210">
        <f>ROUND(SUM(J57:L57),5)</f>
        <v>0</v>
      </c>
      <c r="N57" s="210">
        <v>0</v>
      </c>
      <c r="O57" s="210">
        <v>0</v>
      </c>
      <c r="P57" s="210">
        <f>ROUND(SUM(N57:O57),5)</f>
        <v>0</v>
      </c>
      <c r="Q57" s="210">
        <v>1666.64</v>
      </c>
      <c r="R57" s="210">
        <f>ROUND(M57+SUM(P57:Q57),5)</f>
        <v>1666.64</v>
      </c>
      <c r="S57" s="210">
        <f>ROUND(I57+R57,5)</f>
        <v>1666.64</v>
      </c>
    </row>
    <row r="58" spans="1:19">
      <c r="A58" s="209"/>
      <c r="B58" s="209"/>
      <c r="C58" s="209"/>
      <c r="D58" s="209"/>
      <c r="E58" s="209"/>
      <c r="F58" s="209"/>
      <c r="G58" s="209" t="s">
        <v>167</v>
      </c>
      <c r="H58" s="210">
        <v>0</v>
      </c>
      <c r="I58" s="210">
        <f>H58</f>
        <v>0</v>
      </c>
      <c r="J58" s="210">
        <v>0</v>
      </c>
      <c r="K58" s="210">
        <v>0</v>
      </c>
      <c r="L58" s="210">
        <v>65</v>
      </c>
      <c r="M58" s="210">
        <f>ROUND(SUM(J58:L58),5)</f>
        <v>65</v>
      </c>
      <c r="N58" s="210">
        <v>50</v>
      </c>
      <c r="O58" s="210">
        <v>650</v>
      </c>
      <c r="P58" s="210">
        <f>ROUND(SUM(N58:O58),5)</f>
        <v>700</v>
      </c>
      <c r="Q58" s="210">
        <v>11750.01</v>
      </c>
      <c r="R58" s="210">
        <f>ROUND(M58+SUM(P58:Q58),5)</f>
        <v>12515.01</v>
      </c>
      <c r="S58" s="210">
        <f>ROUND(I58+R58,5)</f>
        <v>12515.01</v>
      </c>
    </row>
    <row r="59" spans="1:19" ht="15" thickBot="1">
      <c r="A59" s="209"/>
      <c r="B59" s="209"/>
      <c r="C59" s="209"/>
      <c r="D59" s="209"/>
      <c r="E59" s="209"/>
      <c r="F59" s="209"/>
      <c r="G59" s="209" t="s">
        <v>169</v>
      </c>
      <c r="H59" s="213">
        <v>0</v>
      </c>
      <c r="I59" s="213">
        <f>H59</f>
        <v>0</v>
      </c>
      <c r="J59" s="213">
        <v>0</v>
      </c>
      <c r="K59" s="213">
        <v>0</v>
      </c>
      <c r="L59" s="213">
        <v>0</v>
      </c>
      <c r="M59" s="213">
        <f>ROUND(SUM(J59:L59),5)</f>
        <v>0</v>
      </c>
      <c r="N59" s="213">
        <v>0</v>
      </c>
      <c r="O59" s="213">
        <v>0</v>
      </c>
      <c r="P59" s="213">
        <f>ROUND(SUM(N59:O59),5)</f>
        <v>0</v>
      </c>
      <c r="Q59" s="213">
        <v>2400</v>
      </c>
      <c r="R59" s="213">
        <f>ROUND(M59+SUM(P59:Q59),5)</f>
        <v>2400</v>
      </c>
      <c r="S59" s="213">
        <f>ROUND(I59+R59,5)</f>
        <v>2400</v>
      </c>
    </row>
    <row r="60" spans="1:19">
      <c r="A60" s="209"/>
      <c r="B60" s="209"/>
      <c r="C60" s="209"/>
      <c r="D60" s="209"/>
      <c r="E60" s="209"/>
      <c r="F60" s="209" t="s">
        <v>171</v>
      </c>
      <c r="G60" s="209"/>
      <c r="H60" s="210">
        <f>ROUND(SUM(H56:H59),5)</f>
        <v>0</v>
      </c>
      <c r="I60" s="210">
        <f>H60</f>
        <v>0</v>
      </c>
      <c r="J60" s="210">
        <f>ROUND(SUM(J56:J59),5)</f>
        <v>0</v>
      </c>
      <c r="K60" s="210">
        <f>ROUND(SUM(K56:K59),5)</f>
        <v>0</v>
      </c>
      <c r="L60" s="210">
        <f>ROUND(SUM(L56:L59),5)</f>
        <v>65</v>
      </c>
      <c r="M60" s="210">
        <f>ROUND(SUM(J60:L60),5)</f>
        <v>65</v>
      </c>
      <c r="N60" s="210">
        <f>ROUND(SUM(N56:N59),5)</f>
        <v>50</v>
      </c>
      <c r="O60" s="210">
        <f>ROUND(SUM(O56:O59),5)</f>
        <v>650</v>
      </c>
      <c r="P60" s="210">
        <f>ROUND(SUM(N60:O60),5)</f>
        <v>700</v>
      </c>
      <c r="Q60" s="210">
        <f>ROUND(SUM(Q56:Q59),5)</f>
        <v>15816.65</v>
      </c>
      <c r="R60" s="210">
        <f>ROUND(M60+SUM(P60:Q60),5)</f>
        <v>16581.650000000001</v>
      </c>
      <c r="S60" s="210">
        <f>ROUND(I60+R60,5)</f>
        <v>16581.650000000001</v>
      </c>
    </row>
    <row r="61" spans="1:19">
      <c r="A61" s="209"/>
      <c r="B61" s="209"/>
      <c r="C61" s="209"/>
      <c r="D61" s="209"/>
      <c r="E61" s="209"/>
      <c r="F61" s="209" t="s">
        <v>172</v>
      </c>
      <c r="G61" s="209"/>
      <c r="H61" s="210"/>
      <c r="I61" s="210"/>
      <c r="J61" s="210"/>
      <c r="K61" s="210"/>
      <c r="L61" s="210"/>
      <c r="M61" s="210"/>
      <c r="N61" s="210"/>
      <c r="O61" s="210"/>
      <c r="P61" s="210"/>
      <c r="Q61" s="210"/>
      <c r="R61" s="210"/>
      <c r="S61" s="210"/>
    </row>
    <row r="62" spans="1:19">
      <c r="A62" s="209"/>
      <c r="B62" s="209"/>
      <c r="C62" s="209"/>
      <c r="D62" s="209"/>
      <c r="E62" s="209"/>
      <c r="F62" s="209"/>
      <c r="G62" s="209" t="s">
        <v>173</v>
      </c>
      <c r="H62" s="210">
        <v>0</v>
      </c>
      <c r="I62" s="210">
        <f>H62</f>
        <v>0</v>
      </c>
      <c r="J62" s="210">
        <v>0</v>
      </c>
      <c r="K62" s="210">
        <v>0</v>
      </c>
      <c r="L62" s="210">
        <v>39626.589999999997</v>
      </c>
      <c r="M62" s="210">
        <f>ROUND(SUM(J62:L62),5)</f>
        <v>39626.589999999997</v>
      </c>
      <c r="N62" s="210">
        <v>0</v>
      </c>
      <c r="O62" s="210">
        <v>3847.24</v>
      </c>
      <c r="P62" s="210">
        <f>ROUND(SUM(N62:O62),5)</f>
        <v>3847.24</v>
      </c>
      <c r="Q62" s="210">
        <v>0</v>
      </c>
      <c r="R62" s="210">
        <f>ROUND(M62+SUM(P62:Q62),5)</f>
        <v>43473.83</v>
      </c>
      <c r="S62" s="210">
        <f>ROUND(I62+R62,5)</f>
        <v>43473.83</v>
      </c>
    </row>
    <row r="63" spans="1:19">
      <c r="A63" s="209"/>
      <c r="B63" s="209"/>
      <c r="C63" s="209"/>
      <c r="D63" s="209"/>
      <c r="E63" s="209"/>
      <c r="F63" s="209"/>
      <c r="G63" s="209" t="s">
        <v>387</v>
      </c>
      <c r="H63" s="210">
        <v>0</v>
      </c>
      <c r="I63" s="210">
        <f>H63</f>
        <v>0</v>
      </c>
      <c r="J63" s="210"/>
      <c r="K63" s="210"/>
      <c r="L63" s="210">
        <v>0</v>
      </c>
      <c r="M63" s="210">
        <f>ROUND(SUM(J63:L63),5)</f>
        <v>0</v>
      </c>
      <c r="N63" s="210">
        <v>0</v>
      </c>
      <c r="O63" s="210">
        <v>0</v>
      </c>
      <c r="P63" s="210">
        <f>ROUND(SUM(N63:O63),5)</f>
        <v>0</v>
      </c>
      <c r="Q63" s="210">
        <v>0</v>
      </c>
      <c r="R63" s="210">
        <f>ROUND(M63+SUM(P63:Q63),5)</f>
        <v>0</v>
      </c>
      <c r="S63" s="210">
        <f>ROUND(I63+R63,5)</f>
        <v>0</v>
      </c>
    </row>
    <row r="64" spans="1:19">
      <c r="A64" s="209"/>
      <c r="B64" s="209"/>
      <c r="C64" s="209"/>
      <c r="D64" s="209"/>
      <c r="E64" s="209"/>
      <c r="F64" s="209"/>
      <c r="G64" s="209" t="s">
        <v>175</v>
      </c>
      <c r="H64" s="210">
        <v>37.42</v>
      </c>
      <c r="I64" s="210">
        <f>H64</f>
        <v>37.42</v>
      </c>
      <c r="J64" s="210">
        <v>85.62</v>
      </c>
      <c r="K64" s="210">
        <v>268.14</v>
      </c>
      <c r="L64" s="210">
        <v>12807.1</v>
      </c>
      <c r="M64" s="210">
        <f>ROUND(SUM(J64:L64),5)</f>
        <v>13160.86</v>
      </c>
      <c r="N64" s="210">
        <v>200</v>
      </c>
      <c r="O64" s="210">
        <v>1400</v>
      </c>
      <c r="P64" s="210">
        <f>ROUND(SUM(N64:O64),5)</f>
        <v>1600</v>
      </c>
      <c r="Q64" s="210">
        <v>5000</v>
      </c>
      <c r="R64" s="210">
        <f>ROUND(M64+SUM(P64:Q64),5)</f>
        <v>19760.86</v>
      </c>
      <c r="S64" s="210">
        <f>ROUND(I64+R64,5)</f>
        <v>19798.28</v>
      </c>
    </row>
    <row r="65" spans="1:19" ht="15" thickBot="1">
      <c r="A65" s="209"/>
      <c r="B65" s="209"/>
      <c r="C65" s="209"/>
      <c r="D65" s="209"/>
      <c r="E65" s="209"/>
      <c r="F65" s="209"/>
      <c r="G65" s="209" t="s">
        <v>179</v>
      </c>
      <c r="H65" s="213">
        <v>0</v>
      </c>
      <c r="I65" s="213">
        <f>H65</f>
        <v>0</v>
      </c>
      <c r="J65" s="213">
        <v>0</v>
      </c>
      <c r="K65" s="213">
        <v>0</v>
      </c>
      <c r="L65" s="213">
        <v>10000</v>
      </c>
      <c r="M65" s="213">
        <f>ROUND(SUM(J65:L65),5)</f>
        <v>10000</v>
      </c>
      <c r="N65" s="213">
        <v>0</v>
      </c>
      <c r="O65" s="213">
        <v>0</v>
      </c>
      <c r="P65" s="213">
        <f>ROUND(SUM(N65:O65),5)</f>
        <v>0</v>
      </c>
      <c r="Q65" s="213">
        <v>600</v>
      </c>
      <c r="R65" s="213">
        <f>ROUND(M65+SUM(P65:Q65),5)</f>
        <v>10600</v>
      </c>
      <c r="S65" s="213">
        <f>ROUND(I65+R65,5)</f>
        <v>10600</v>
      </c>
    </row>
    <row r="66" spans="1:19">
      <c r="A66" s="209"/>
      <c r="B66" s="209"/>
      <c r="C66" s="209"/>
      <c r="D66" s="209"/>
      <c r="E66" s="209"/>
      <c r="F66" s="209" t="s">
        <v>182</v>
      </c>
      <c r="G66" s="209"/>
      <c r="H66" s="210">
        <f>ROUND(SUM(H61:H65),5)</f>
        <v>37.42</v>
      </c>
      <c r="I66" s="210">
        <f>H66</f>
        <v>37.42</v>
      </c>
      <c r="J66" s="210">
        <f>ROUND(SUM(J61:J65),5)</f>
        <v>85.62</v>
      </c>
      <c r="K66" s="210">
        <f>ROUND(SUM(K61:K65),5)</f>
        <v>268.14</v>
      </c>
      <c r="L66" s="210">
        <f>ROUND(SUM(L61:L65),5)</f>
        <v>62433.69</v>
      </c>
      <c r="M66" s="210">
        <f>ROUND(SUM(J66:L66),5)</f>
        <v>62787.45</v>
      </c>
      <c r="N66" s="210">
        <f>ROUND(SUM(N61:N65),5)</f>
        <v>200</v>
      </c>
      <c r="O66" s="210">
        <f>ROUND(SUM(O61:O65),5)</f>
        <v>5247.24</v>
      </c>
      <c r="P66" s="210">
        <f>ROUND(SUM(N66:O66),5)</f>
        <v>5447.24</v>
      </c>
      <c r="Q66" s="210">
        <f>ROUND(SUM(Q61:Q65),5)</f>
        <v>5600</v>
      </c>
      <c r="R66" s="210">
        <f>ROUND(M66+SUM(P66:Q66),5)</f>
        <v>73834.69</v>
      </c>
      <c r="S66" s="210">
        <f>ROUND(I66+R66,5)</f>
        <v>73872.11</v>
      </c>
    </row>
    <row r="67" spans="1:19">
      <c r="A67" s="209"/>
      <c r="B67" s="209"/>
      <c r="C67" s="209"/>
      <c r="D67" s="209"/>
      <c r="E67" s="209"/>
      <c r="F67" s="209" t="s">
        <v>129</v>
      </c>
      <c r="G67" s="209"/>
      <c r="H67" s="210"/>
      <c r="I67" s="210"/>
      <c r="J67" s="210"/>
      <c r="K67" s="210"/>
      <c r="L67" s="210"/>
      <c r="M67" s="210"/>
      <c r="N67" s="210"/>
      <c r="O67" s="210"/>
      <c r="P67" s="210"/>
      <c r="Q67" s="210"/>
      <c r="R67" s="210"/>
      <c r="S67" s="210"/>
    </row>
    <row r="68" spans="1:19">
      <c r="A68" s="209"/>
      <c r="B68" s="209"/>
      <c r="C68" s="209"/>
      <c r="D68" s="209"/>
      <c r="E68" s="209"/>
      <c r="F68" s="209"/>
      <c r="G68" s="209" t="s">
        <v>186</v>
      </c>
      <c r="H68" s="210">
        <v>0</v>
      </c>
      <c r="I68" s="210">
        <f t="shared" ref="I68:I74" si="22">H68</f>
        <v>0</v>
      </c>
      <c r="J68" s="210">
        <v>0</v>
      </c>
      <c r="K68" s="210">
        <v>0</v>
      </c>
      <c r="L68" s="210">
        <v>0</v>
      </c>
      <c r="M68" s="210">
        <f t="shared" ref="M68:M74" si="23">ROUND(SUM(J68:L68),5)</f>
        <v>0</v>
      </c>
      <c r="N68" s="210">
        <v>0</v>
      </c>
      <c r="O68" s="210">
        <v>0</v>
      </c>
      <c r="P68" s="210">
        <f t="shared" ref="P68:P73" si="24">ROUND(SUM(N68:O68),5)</f>
        <v>0</v>
      </c>
      <c r="Q68" s="210">
        <v>2292.71</v>
      </c>
      <c r="R68" s="210">
        <f t="shared" ref="R68:R87" si="25">ROUND(M68+SUM(P68:Q68),5)</f>
        <v>2292.71</v>
      </c>
      <c r="S68" s="210">
        <f t="shared" ref="S68:S87" si="26">ROUND(I68+R68,5)</f>
        <v>2292.71</v>
      </c>
    </row>
    <row r="69" spans="1:19">
      <c r="A69" s="209"/>
      <c r="B69" s="209"/>
      <c r="C69" s="209"/>
      <c r="D69" s="209"/>
      <c r="E69" s="209"/>
      <c r="F69" s="209"/>
      <c r="G69" s="209" t="s">
        <v>188</v>
      </c>
      <c r="H69" s="210">
        <v>395.54</v>
      </c>
      <c r="I69" s="210">
        <f t="shared" si="22"/>
        <v>395.54</v>
      </c>
      <c r="J69" s="210">
        <v>541.34</v>
      </c>
      <c r="K69" s="210">
        <v>0</v>
      </c>
      <c r="L69" s="210">
        <v>98505.42</v>
      </c>
      <c r="M69" s="210">
        <f t="shared" si="23"/>
        <v>99046.76</v>
      </c>
      <c r="N69" s="210">
        <v>3102.32</v>
      </c>
      <c r="O69" s="210">
        <v>9850.52</v>
      </c>
      <c r="P69" s="210">
        <f t="shared" si="24"/>
        <v>12952.84</v>
      </c>
      <c r="Q69" s="210">
        <v>535592</v>
      </c>
      <c r="R69" s="210">
        <f t="shared" si="25"/>
        <v>647591.6</v>
      </c>
      <c r="S69" s="210">
        <f t="shared" si="26"/>
        <v>647987.14</v>
      </c>
    </row>
    <row r="70" spans="1:19">
      <c r="A70" s="209"/>
      <c r="B70" s="209"/>
      <c r="C70" s="209"/>
      <c r="D70" s="209"/>
      <c r="E70" s="209"/>
      <c r="F70" s="209"/>
      <c r="G70" s="209" t="s">
        <v>191</v>
      </c>
      <c r="H70" s="210">
        <v>29.47</v>
      </c>
      <c r="I70" s="210">
        <f t="shared" si="22"/>
        <v>29.47</v>
      </c>
      <c r="J70" s="210">
        <v>184.06</v>
      </c>
      <c r="K70" s="210">
        <v>576.48</v>
      </c>
      <c r="L70" s="210">
        <v>6203.86</v>
      </c>
      <c r="M70" s="210">
        <f t="shared" si="23"/>
        <v>6964.4</v>
      </c>
      <c r="N70" s="210">
        <v>527.71</v>
      </c>
      <c r="O70" s="210">
        <v>2610.2199999999998</v>
      </c>
      <c r="P70" s="210">
        <f t="shared" si="24"/>
        <v>3137.93</v>
      </c>
      <c r="Q70" s="210">
        <v>0</v>
      </c>
      <c r="R70" s="210">
        <f t="shared" si="25"/>
        <v>10102.33</v>
      </c>
      <c r="S70" s="210">
        <f t="shared" si="26"/>
        <v>10131.799999999999</v>
      </c>
    </row>
    <row r="71" spans="1:19">
      <c r="A71" s="209"/>
      <c r="B71" s="209"/>
      <c r="C71" s="209"/>
      <c r="D71" s="209"/>
      <c r="E71" s="209"/>
      <c r="F71" s="209"/>
      <c r="G71" s="209" t="s">
        <v>194</v>
      </c>
      <c r="H71" s="210">
        <v>28.89</v>
      </c>
      <c r="I71" s="210">
        <f t="shared" si="22"/>
        <v>28.89</v>
      </c>
      <c r="J71" s="210">
        <v>37.76</v>
      </c>
      <c r="K71" s="210">
        <v>0</v>
      </c>
      <c r="L71" s="210">
        <v>7904.46</v>
      </c>
      <c r="M71" s="210">
        <f t="shared" si="23"/>
        <v>7942.22</v>
      </c>
      <c r="N71" s="210">
        <v>77.5</v>
      </c>
      <c r="O71" s="210">
        <v>372.5</v>
      </c>
      <c r="P71" s="210">
        <f t="shared" si="24"/>
        <v>450</v>
      </c>
      <c r="Q71" s="210">
        <v>58400</v>
      </c>
      <c r="R71" s="210">
        <f t="shared" si="25"/>
        <v>66792.22</v>
      </c>
      <c r="S71" s="210">
        <f t="shared" si="26"/>
        <v>66821.11</v>
      </c>
    </row>
    <row r="72" spans="1:19">
      <c r="A72" s="209"/>
      <c r="B72" s="209"/>
      <c r="C72" s="209"/>
      <c r="D72" s="209"/>
      <c r="E72" s="209"/>
      <c r="F72" s="209"/>
      <c r="G72" s="209" t="s">
        <v>196</v>
      </c>
      <c r="H72" s="210">
        <v>70.569999999999993</v>
      </c>
      <c r="I72" s="210">
        <f t="shared" si="22"/>
        <v>70.569999999999993</v>
      </c>
      <c r="J72" s="210">
        <v>0</v>
      </c>
      <c r="K72" s="210">
        <v>118.3</v>
      </c>
      <c r="L72" s="210">
        <v>16162.76</v>
      </c>
      <c r="M72" s="210">
        <f t="shared" si="23"/>
        <v>16281.06</v>
      </c>
      <c r="N72" s="210">
        <v>1029.58</v>
      </c>
      <c r="O72" s="210">
        <v>4468.34</v>
      </c>
      <c r="P72" s="210">
        <f t="shared" si="24"/>
        <v>5497.92</v>
      </c>
      <c r="Q72" s="210">
        <v>0</v>
      </c>
      <c r="R72" s="210">
        <f t="shared" si="25"/>
        <v>21778.98</v>
      </c>
      <c r="S72" s="210">
        <f t="shared" si="26"/>
        <v>21849.55</v>
      </c>
    </row>
    <row r="73" spans="1:19">
      <c r="A73" s="209"/>
      <c r="B73" s="209"/>
      <c r="C73" s="209"/>
      <c r="D73" s="209"/>
      <c r="E73" s="209"/>
      <c r="F73" s="209"/>
      <c r="G73" s="209" t="s">
        <v>331</v>
      </c>
      <c r="H73" s="210">
        <v>473.57</v>
      </c>
      <c r="I73" s="210">
        <f t="shared" si="22"/>
        <v>473.57</v>
      </c>
      <c r="J73" s="210">
        <v>6282.84</v>
      </c>
      <c r="K73" s="210">
        <v>5675.12</v>
      </c>
      <c r="L73" s="210">
        <v>130391.4</v>
      </c>
      <c r="M73" s="210">
        <f t="shared" si="23"/>
        <v>142349.35999999999</v>
      </c>
      <c r="N73" s="210">
        <v>4775.91</v>
      </c>
      <c r="O73" s="210">
        <v>26958.97</v>
      </c>
      <c r="P73" s="210">
        <f t="shared" si="24"/>
        <v>31734.880000000001</v>
      </c>
      <c r="Q73" s="210">
        <v>0</v>
      </c>
      <c r="R73" s="210">
        <f t="shared" si="25"/>
        <v>174084.24</v>
      </c>
      <c r="S73" s="210">
        <f t="shared" si="26"/>
        <v>174557.81</v>
      </c>
    </row>
    <row r="74" spans="1:19">
      <c r="A74" s="209"/>
      <c r="B74" s="209"/>
      <c r="C74" s="209"/>
      <c r="D74" s="209"/>
      <c r="E74" s="209"/>
      <c r="F74" s="209"/>
      <c r="G74" s="209" t="s">
        <v>118</v>
      </c>
      <c r="H74" s="210">
        <v>85.59</v>
      </c>
      <c r="I74" s="210">
        <f t="shared" si="22"/>
        <v>85.59</v>
      </c>
      <c r="J74" s="210"/>
      <c r="K74" s="210"/>
      <c r="L74" s="210">
        <v>19010.419999999998</v>
      </c>
      <c r="M74" s="210">
        <f t="shared" si="23"/>
        <v>19010.419999999998</v>
      </c>
      <c r="N74" s="210"/>
      <c r="O74" s="210"/>
      <c r="P74" s="210"/>
      <c r="Q74" s="210"/>
      <c r="R74" s="210">
        <f t="shared" si="25"/>
        <v>19010.419999999998</v>
      </c>
      <c r="S74" s="210">
        <f t="shared" si="26"/>
        <v>19096.009999999998</v>
      </c>
    </row>
    <row r="75" spans="1:19">
      <c r="A75" s="209"/>
      <c r="B75" s="209"/>
      <c r="C75" s="209"/>
      <c r="D75" s="209"/>
      <c r="E75" s="209"/>
      <c r="F75" s="209"/>
      <c r="G75" s="209" t="s">
        <v>200</v>
      </c>
      <c r="H75" s="210"/>
      <c r="I75" s="210"/>
      <c r="J75" s="210"/>
      <c r="K75" s="210"/>
      <c r="L75" s="210"/>
      <c r="M75" s="210"/>
      <c r="N75" s="210"/>
      <c r="O75" s="210">
        <v>0</v>
      </c>
      <c r="P75" s="210">
        <f>ROUND(SUM(N75:O75),5)</f>
        <v>0</v>
      </c>
      <c r="Q75" s="210">
        <v>0</v>
      </c>
      <c r="R75" s="210">
        <f t="shared" si="25"/>
        <v>0</v>
      </c>
      <c r="S75" s="210">
        <f t="shared" si="26"/>
        <v>0</v>
      </c>
    </row>
    <row r="76" spans="1:19">
      <c r="A76" s="209"/>
      <c r="B76" s="209"/>
      <c r="C76" s="209"/>
      <c r="D76" s="209"/>
      <c r="E76" s="209"/>
      <c r="F76" s="209"/>
      <c r="G76" s="209" t="s">
        <v>201</v>
      </c>
      <c r="H76" s="210">
        <v>221.7</v>
      </c>
      <c r="I76" s="210">
        <f>H76</f>
        <v>221.7</v>
      </c>
      <c r="J76" s="210">
        <v>97.44</v>
      </c>
      <c r="K76" s="210">
        <v>305.2</v>
      </c>
      <c r="L76" s="210">
        <v>45383.31</v>
      </c>
      <c r="M76" s="210">
        <f t="shared" ref="M76:M87" si="27">ROUND(SUM(J76:L76),5)</f>
        <v>45785.95</v>
      </c>
      <c r="N76" s="210">
        <v>701.72</v>
      </c>
      <c r="O76" s="210">
        <v>4706.72</v>
      </c>
      <c r="P76" s="210">
        <f>ROUND(SUM(N76:O76),5)</f>
        <v>5408.44</v>
      </c>
      <c r="Q76" s="210">
        <v>93800</v>
      </c>
      <c r="R76" s="210">
        <f t="shared" si="25"/>
        <v>144994.39000000001</v>
      </c>
      <c r="S76" s="210">
        <f t="shared" si="26"/>
        <v>145216.09</v>
      </c>
    </row>
    <row r="77" spans="1:19">
      <c r="A77" s="209"/>
      <c r="B77" s="209"/>
      <c r="C77" s="209"/>
      <c r="D77" s="209"/>
      <c r="E77" s="209"/>
      <c r="F77" s="209"/>
      <c r="G77" s="209" t="s">
        <v>205</v>
      </c>
      <c r="H77" s="210">
        <v>152.52000000000001</v>
      </c>
      <c r="I77" s="210">
        <f>H77</f>
        <v>152.52000000000001</v>
      </c>
      <c r="J77" s="210">
        <v>274.98</v>
      </c>
      <c r="K77" s="210">
        <v>861.22</v>
      </c>
      <c r="L77" s="210">
        <v>35447.360000000001</v>
      </c>
      <c r="M77" s="210">
        <f t="shared" si="27"/>
        <v>36583.56</v>
      </c>
      <c r="N77" s="210">
        <v>2244.6</v>
      </c>
      <c r="O77" s="210">
        <v>10121.299999999999</v>
      </c>
      <c r="P77" s="210">
        <f>ROUND(SUM(N77:O77),5)</f>
        <v>12365.9</v>
      </c>
      <c r="Q77" s="210">
        <v>0</v>
      </c>
      <c r="R77" s="210">
        <f t="shared" si="25"/>
        <v>48949.46</v>
      </c>
      <c r="S77" s="210">
        <f t="shared" si="26"/>
        <v>49101.98</v>
      </c>
    </row>
    <row r="78" spans="1:19">
      <c r="A78" s="209"/>
      <c r="B78" s="209"/>
      <c r="C78" s="209"/>
      <c r="D78" s="209"/>
      <c r="E78" s="209"/>
      <c r="F78" s="209"/>
      <c r="G78" s="209" t="s">
        <v>206</v>
      </c>
      <c r="H78" s="210"/>
      <c r="I78" s="210"/>
      <c r="J78" s="210"/>
      <c r="K78" s="210"/>
      <c r="L78" s="210">
        <v>10283.73</v>
      </c>
      <c r="M78" s="210">
        <f t="shared" si="27"/>
        <v>10283.73</v>
      </c>
      <c r="N78" s="210">
        <v>0</v>
      </c>
      <c r="O78" s="210">
        <v>0</v>
      </c>
      <c r="P78" s="210">
        <f>ROUND(SUM(N78:O78),5)</f>
        <v>0</v>
      </c>
      <c r="Q78" s="210">
        <v>0</v>
      </c>
      <c r="R78" s="210">
        <f t="shared" si="25"/>
        <v>10283.73</v>
      </c>
      <c r="S78" s="210">
        <f t="shared" si="26"/>
        <v>10283.73</v>
      </c>
    </row>
    <row r="79" spans="1:19">
      <c r="A79" s="209"/>
      <c r="B79" s="209"/>
      <c r="C79" s="209"/>
      <c r="D79" s="209"/>
      <c r="E79" s="209"/>
      <c r="F79" s="209"/>
      <c r="G79" s="209" t="s">
        <v>207</v>
      </c>
      <c r="H79" s="210">
        <v>24.21</v>
      </c>
      <c r="I79" s="210">
        <f>H79</f>
        <v>24.21</v>
      </c>
      <c r="J79" s="210"/>
      <c r="K79" s="210"/>
      <c r="L79" s="210">
        <v>5042.46</v>
      </c>
      <c r="M79" s="210">
        <f t="shared" si="27"/>
        <v>5042.46</v>
      </c>
      <c r="N79" s="210">
        <v>62</v>
      </c>
      <c r="O79" s="210">
        <v>254</v>
      </c>
      <c r="P79" s="210">
        <f>ROUND(SUM(N79:O79),5)</f>
        <v>316</v>
      </c>
      <c r="Q79" s="210">
        <v>11400</v>
      </c>
      <c r="R79" s="210">
        <f t="shared" si="25"/>
        <v>16758.46</v>
      </c>
      <c r="S79" s="210">
        <f t="shared" si="26"/>
        <v>16782.669999999998</v>
      </c>
    </row>
    <row r="80" spans="1:19">
      <c r="A80" s="209"/>
      <c r="B80" s="209"/>
      <c r="C80" s="209"/>
      <c r="D80" s="209"/>
      <c r="E80" s="209"/>
      <c r="F80" s="209"/>
      <c r="G80" s="209" t="s">
        <v>134</v>
      </c>
      <c r="H80" s="210"/>
      <c r="I80" s="210"/>
      <c r="J80" s="210">
        <v>149.82</v>
      </c>
      <c r="K80" s="210">
        <v>469.24</v>
      </c>
      <c r="L80" s="210"/>
      <c r="M80" s="210">
        <f t="shared" si="27"/>
        <v>619.05999999999995</v>
      </c>
      <c r="N80" s="210"/>
      <c r="O80" s="210"/>
      <c r="P80" s="210"/>
      <c r="Q80" s="210">
        <v>0</v>
      </c>
      <c r="R80" s="210">
        <f t="shared" si="25"/>
        <v>619.05999999999995</v>
      </c>
      <c r="S80" s="210">
        <f t="shared" si="26"/>
        <v>619.05999999999995</v>
      </c>
    </row>
    <row r="81" spans="1:19" ht="15" thickBot="1">
      <c r="A81" s="209"/>
      <c r="B81" s="209"/>
      <c r="C81" s="209"/>
      <c r="D81" s="209"/>
      <c r="E81" s="209"/>
      <c r="F81" s="209"/>
      <c r="G81" s="209" t="s">
        <v>209</v>
      </c>
      <c r="H81" s="213">
        <v>0</v>
      </c>
      <c r="I81" s="213">
        <f>H81</f>
        <v>0</v>
      </c>
      <c r="J81" s="213">
        <v>0</v>
      </c>
      <c r="K81" s="213">
        <v>0</v>
      </c>
      <c r="L81" s="213">
        <v>0</v>
      </c>
      <c r="M81" s="213">
        <f t="shared" si="27"/>
        <v>0</v>
      </c>
      <c r="N81" s="213">
        <v>0</v>
      </c>
      <c r="O81" s="213">
        <v>0</v>
      </c>
      <c r="P81" s="213">
        <f>ROUND(SUM(N81:O81),5)</f>
        <v>0</v>
      </c>
      <c r="Q81" s="213">
        <v>41240.58</v>
      </c>
      <c r="R81" s="213">
        <f t="shared" si="25"/>
        <v>41240.58</v>
      </c>
      <c r="S81" s="213">
        <f t="shared" si="26"/>
        <v>41240.58</v>
      </c>
    </row>
    <row r="82" spans="1:19">
      <c r="A82" s="209"/>
      <c r="B82" s="209"/>
      <c r="C82" s="209"/>
      <c r="D82" s="209"/>
      <c r="E82" s="209"/>
      <c r="F82" s="209" t="s">
        <v>135</v>
      </c>
      <c r="G82" s="209"/>
      <c r="H82" s="210">
        <f>ROUND(SUM(H67:H81),5)</f>
        <v>1482.06</v>
      </c>
      <c r="I82" s="210">
        <f>H82</f>
        <v>1482.06</v>
      </c>
      <c r="J82" s="210">
        <f>ROUND(SUM(J67:J81),5)</f>
        <v>7568.24</v>
      </c>
      <c r="K82" s="210">
        <f>ROUND(SUM(K67:K81),5)</f>
        <v>8005.56</v>
      </c>
      <c r="L82" s="210">
        <f>ROUND(SUM(L67:L81),5)</f>
        <v>374335.18</v>
      </c>
      <c r="M82" s="210">
        <f t="shared" si="27"/>
        <v>389908.98</v>
      </c>
      <c r="N82" s="210">
        <f>ROUND(SUM(N67:N81),5)</f>
        <v>12521.34</v>
      </c>
      <c r="O82" s="210">
        <f>ROUND(SUM(O67:O81),5)</f>
        <v>59342.57</v>
      </c>
      <c r="P82" s="210">
        <f>ROUND(SUM(N82:O82),5)</f>
        <v>71863.91</v>
      </c>
      <c r="Q82" s="210">
        <f>ROUND(SUM(Q67:Q81),5)</f>
        <v>742725.29</v>
      </c>
      <c r="R82" s="210">
        <f t="shared" si="25"/>
        <v>1204498.18</v>
      </c>
      <c r="S82" s="210">
        <f t="shared" si="26"/>
        <v>1205980.24</v>
      </c>
    </row>
    <row r="83" spans="1:19" ht="15" thickBot="1">
      <c r="A83" s="209"/>
      <c r="B83" s="209"/>
      <c r="C83" s="209"/>
      <c r="D83" s="209"/>
      <c r="E83" s="209"/>
      <c r="F83" s="209" t="s">
        <v>212</v>
      </c>
      <c r="G83" s="209"/>
      <c r="H83" s="213">
        <v>0</v>
      </c>
      <c r="I83" s="213">
        <f>H83</f>
        <v>0</v>
      </c>
      <c r="J83" s="213">
        <v>0</v>
      </c>
      <c r="K83" s="213">
        <v>0</v>
      </c>
      <c r="L83" s="213">
        <v>0</v>
      </c>
      <c r="M83" s="213">
        <f t="shared" si="27"/>
        <v>0</v>
      </c>
      <c r="N83" s="213">
        <v>0</v>
      </c>
      <c r="O83" s="213">
        <v>0</v>
      </c>
      <c r="P83" s="213">
        <f>ROUND(SUM(N83:O83),5)</f>
        <v>0</v>
      </c>
      <c r="Q83" s="213">
        <v>0</v>
      </c>
      <c r="R83" s="213">
        <f t="shared" si="25"/>
        <v>0</v>
      </c>
      <c r="S83" s="213">
        <f t="shared" si="26"/>
        <v>0</v>
      </c>
    </row>
    <row r="84" spans="1:19">
      <c r="A84" s="209"/>
      <c r="B84" s="209"/>
      <c r="C84" s="209"/>
      <c r="D84" s="209"/>
      <c r="E84" s="209" t="s">
        <v>213</v>
      </c>
      <c r="F84" s="209"/>
      <c r="G84" s="209"/>
      <c r="H84" s="210">
        <f>ROUND(H40+SUM(H46:H47)+H55+H60+H66+SUM(H82:H83),5)</f>
        <v>1859.96</v>
      </c>
      <c r="I84" s="210">
        <f>H84</f>
        <v>1859.96</v>
      </c>
      <c r="J84" s="210">
        <f>ROUND(J40+SUM(J46:J47)+J55+J60+J66+SUM(J82:J83),5)</f>
        <v>8371.7000000000007</v>
      </c>
      <c r="K84" s="210">
        <f>ROUND(K40+SUM(K46:K47)+K55+K60+K66+SUM(K82:K83),5)</f>
        <v>10521.96</v>
      </c>
      <c r="L84" s="210">
        <f>ROUND(L40+SUM(L46:L47)+L55+L60+L66+SUM(L82:L83),5)</f>
        <v>538975.56999999995</v>
      </c>
      <c r="M84" s="210">
        <f t="shared" si="27"/>
        <v>557869.23</v>
      </c>
      <c r="N84" s="210">
        <f>ROUND(N40+SUM(N46:N47)+N55+N60+N66+SUM(N82:N83),5)</f>
        <v>14157.62</v>
      </c>
      <c r="O84" s="210">
        <f>ROUND(O40+SUM(O46:O47)+O55+O60+O66+SUM(O82:O83),5)</f>
        <v>74288.479999999996</v>
      </c>
      <c r="P84" s="210">
        <f>ROUND(SUM(N84:O84),5)</f>
        <v>88446.1</v>
      </c>
      <c r="Q84" s="210">
        <f>ROUND(Q40+SUM(Q46:Q47)+Q55+Q60+Q66+SUM(Q82:Q83),5)</f>
        <v>869501.94</v>
      </c>
      <c r="R84" s="210">
        <f t="shared" si="25"/>
        <v>1515817.27</v>
      </c>
      <c r="S84" s="210">
        <f t="shared" si="26"/>
        <v>1517677.23</v>
      </c>
    </row>
    <row r="85" spans="1:19" ht="15" thickBot="1">
      <c r="A85" s="209"/>
      <c r="B85" s="209"/>
      <c r="C85" s="209"/>
      <c r="D85" s="209"/>
      <c r="E85" s="209" t="s">
        <v>332</v>
      </c>
      <c r="F85" s="209"/>
      <c r="G85" s="209"/>
      <c r="H85" s="214"/>
      <c r="I85" s="214"/>
      <c r="J85" s="214">
        <v>0</v>
      </c>
      <c r="K85" s="214">
        <v>0</v>
      </c>
      <c r="L85" s="214"/>
      <c r="M85" s="214">
        <f t="shared" si="27"/>
        <v>0</v>
      </c>
      <c r="N85" s="214"/>
      <c r="O85" s="214"/>
      <c r="P85" s="214"/>
      <c r="Q85" s="214"/>
      <c r="R85" s="214">
        <f t="shared" si="25"/>
        <v>0</v>
      </c>
      <c r="S85" s="214">
        <f t="shared" si="26"/>
        <v>0</v>
      </c>
    </row>
    <row r="86" spans="1:19" ht="15" thickBot="1">
      <c r="A86" s="209"/>
      <c r="B86" s="209"/>
      <c r="C86" s="209"/>
      <c r="D86" s="209" t="s">
        <v>214</v>
      </c>
      <c r="E86" s="209"/>
      <c r="F86" s="209"/>
      <c r="G86" s="209"/>
      <c r="H86" s="221">
        <f>ROUND(H8+H14+H21+H30+H39+SUM(H84:H85),5)</f>
        <v>2968.41</v>
      </c>
      <c r="I86" s="221">
        <f>H86</f>
        <v>2968.41</v>
      </c>
      <c r="J86" s="221">
        <f>ROUND(J8+J14+J21+J30+J39+SUM(J84:J85),5)</f>
        <v>8963.66</v>
      </c>
      <c r="K86" s="221">
        <f>ROUND(K8+K14+K21+K30+K39+SUM(K84:K85),5)</f>
        <v>489692.78</v>
      </c>
      <c r="L86" s="221">
        <f>ROUND(L8+L14+L21+L30+L39+SUM(L84:L85),5)</f>
        <v>8356722.6799999997</v>
      </c>
      <c r="M86" s="221">
        <f t="shared" si="27"/>
        <v>8855379.1199999992</v>
      </c>
      <c r="N86" s="221">
        <f>ROUND(N8+N14+N21+N30+N39+SUM(N84:N85),5)</f>
        <v>19441.03</v>
      </c>
      <c r="O86" s="221">
        <f>ROUND(O8+O14+O21+O30+O39+SUM(O84:O85),5)</f>
        <v>99407.97</v>
      </c>
      <c r="P86" s="221">
        <f>ROUND(SUM(N86:O86),5)</f>
        <v>118849</v>
      </c>
      <c r="Q86" s="221">
        <f>ROUND(Q8+Q14+Q21+Q30+Q39+SUM(Q84:Q85),5)</f>
        <v>869501.94</v>
      </c>
      <c r="R86" s="221">
        <f t="shared" si="25"/>
        <v>9843730.0600000005</v>
      </c>
      <c r="S86" s="221">
        <f t="shared" si="26"/>
        <v>9846698.4700000007</v>
      </c>
    </row>
    <row r="87" spans="1:19">
      <c r="A87" s="209"/>
      <c r="B87" s="209" t="s">
        <v>392</v>
      </c>
      <c r="C87" s="209"/>
      <c r="D87" s="209"/>
      <c r="E87" s="209"/>
      <c r="F87" s="209"/>
      <c r="G87" s="209"/>
      <c r="H87" s="210">
        <f>ROUND(H7-H86,5)</f>
        <v>-2968.41</v>
      </c>
      <c r="I87" s="210">
        <f>H87</f>
        <v>-2968.41</v>
      </c>
      <c r="J87" s="210">
        <f>ROUND(J7-J86,5)</f>
        <v>-8963.66</v>
      </c>
      <c r="K87" s="210">
        <f>ROUND(K7-K86,5)</f>
        <v>-489692.78</v>
      </c>
      <c r="L87" s="210">
        <f>ROUND(L7-L86,5)</f>
        <v>-8356722.6799999997</v>
      </c>
      <c r="M87" s="210">
        <f t="shared" si="27"/>
        <v>-8855379.1199999992</v>
      </c>
      <c r="N87" s="210">
        <f>ROUND(N7-N86,5)</f>
        <v>-19441.03</v>
      </c>
      <c r="O87" s="210">
        <f>ROUND(O7-O86,5)</f>
        <v>-99407.97</v>
      </c>
      <c r="P87" s="210">
        <f>ROUND(SUM(N87:O87),5)</f>
        <v>-118849</v>
      </c>
      <c r="Q87" s="210">
        <f>ROUND(Q7-Q86,5)</f>
        <v>-869501.94</v>
      </c>
      <c r="R87" s="210">
        <f t="shared" si="25"/>
        <v>-9843730.0600000005</v>
      </c>
      <c r="S87" s="210">
        <f t="shared" si="26"/>
        <v>-9846698.4700000007</v>
      </c>
    </row>
    <row r="88" spans="1:19">
      <c r="A88" s="209"/>
      <c r="B88" s="209" t="s">
        <v>393</v>
      </c>
      <c r="C88" s="209"/>
      <c r="D88" s="209"/>
      <c r="E88" s="209"/>
      <c r="F88" s="209"/>
      <c r="G88" s="209"/>
      <c r="H88" s="210"/>
      <c r="I88" s="210"/>
      <c r="J88" s="210"/>
      <c r="K88" s="210"/>
      <c r="L88" s="210"/>
      <c r="M88" s="210"/>
      <c r="N88" s="210"/>
      <c r="O88" s="210"/>
      <c r="P88" s="210"/>
      <c r="Q88" s="210"/>
      <c r="R88" s="210"/>
      <c r="S88" s="210"/>
    </row>
    <row r="89" spans="1:19">
      <c r="A89" s="209"/>
      <c r="B89" s="209"/>
      <c r="C89" s="209" t="s">
        <v>394</v>
      </c>
      <c r="D89" s="209"/>
      <c r="E89" s="209"/>
      <c r="F89" s="209"/>
      <c r="G89" s="209"/>
      <c r="H89" s="210"/>
      <c r="I89" s="210"/>
      <c r="J89" s="210"/>
      <c r="K89" s="210"/>
      <c r="L89" s="210"/>
      <c r="M89" s="210"/>
      <c r="N89" s="210"/>
      <c r="O89" s="210"/>
      <c r="P89" s="210"/>
      <c r="Q89" s="210"/>
      <c r="R89" s="210"/>
      <c r="S89" s="210"/>
    </row>
    <row r="90" spans="1:19" ht="15" thickBot="1">
      <c r="A90" s="209"/>
      <c r="B90" s="209"/>
      <c r="C90" s="233" t="s">
        <v>395</v>
      </c>
      <c r="D90" s="209" t="s">
        <v>395</v>
      </c>
      <c r="E90" s="233" t="s">
        <v>395</v>
      </c>
      <c r="F90" s="233" t="s">
        <v>395</v>
      </c>
      <c r="G90" s="209"/>
      <c r="H90" s="214">
        <v>0</v>
      </c>
      <c r="I90" s="214">
        <f>H90</f>
        <v>0</v>
      </c>
      <c r="J90" s="214">
        <v>0</v>
      </c>
      <c r="K90" s="214">
        <v>7047</v>
      </c>
      <c r="L90" s="214">
        <v>74217.149999999994</v>
      </c>
      <c r="M90" s="214">
        <f>ROUND(SUM(J90:L90),5)</f>
        <v>81264.149999999994</v>
      </c>
      <c r="N90" s="214">
        <v>0</v>
      </c>
      <c r="O90" s="214">
        <v>0</v>
      </c>
      <c r="P90" s="214">
        <f>ROUND(SUM(N90:O90),5)</f>
        <v>0</v>
      </c>
      <c r="Q90" s="210"/>
      <c r="R90" s="214">
        <f>ROUND(M90+SUM(P90:Q90),5)</f>
        <v>81264.149999999994</v>
      </c>
      <c r="S90" s="214">
        <f>ROUND(I90+R90,5)</f>
        <v>81264.149999999994</v>
      </c>
    </row>
    <row r="91" spans="1:19" ht="15" thickBot="1">
      <c r="A91" s="209"/>
      <c r="B91" s="209"/>
      <c r="C91" s="209" t="s">
        <v>397</v>
      </c>
      <c r="D91" s="209"/>
      <c r="E91" s="209"/>
      <c r="F91" s="209"/>
      <c r="G91" s="209"/>
      <c r="H91" s="215">
        <f>ROUND(SUM(H89:H90),5)</f>
        <v>0</v>
      </c>
      <c r="I91" s="215">
        <f>H91</f>
        <v>0</v>
      </c>
      <c r="J91" s="215">
        <f>ROUND(SUM(J89:J90),5)</f>
        <v>0</v>
      </c>
      <c r="K91" s="215">
        <f>ROUND(SUM(K89:K90),5)</f>
        <v>7047</v>
      </c>
      <c r="L91" s="215">
        <f>ROUND(SUM(L89:L90),5)</f>
        <v>74217.149999999994</v>
      </c>
      <c r="M91" s="215">
        <f>ROUND(SUM(J91:L91),5)</f>
        <v>81264.149999999994</v>
      </c>
      <c r="N91" s="215">
        <f>ROUND(SUM(N89:N90),5)</f>
        <v>0</v>
      </c>
      <c r="O91" s="215">
        <f>ROUND(SUM(O89:O90),5)</f>
        <v>0</v>
      </c>
      <c r="P91" s="215">
        <f>ROUND(SUM(N91:O91),5)</f>
        <v>0</v>
      </c>
      <c r="Q91" s="210"/>
      <c r="R91" s="215">
        <f>ROUND(M91+SUM(P91:Q91),5)</f>
        <v>81264.149999999994</v>
      </c>
      <c r="S91" s="215">
        <f>ROUND(I91+R91,5)</f>
        <v>81264.149999999994</v>
      </c>
    </row>
    <row r="92" spans="1:19" ht="15" thickBot="1">
      <c r="A92" s="209"/>
      <c r="B92" s="209" t="s">
        <v>398</v>
      </c>
      <c r="C92" s="209"/>
      <c r="D92" s="209"/>
      <c r="E92" s="209"/>
      <c r="F92" s="209"/>
      <c r="G92" s="209"/>
      <c r="H92" s="215">
        <f>ROUND(H88-H91,5)</f>
        <v>0</v>
      </c>
      <c r="I92" s="215">
        <f>H92</f>
        <v>0</v>
      </c>
      <c r="J92" s="215">
        <f>ROUND(J88-J91,5)</f>
        <v>0</v>
      </c>
      <c r="K92" s="215">
        <f>ROUND(K88-K91,5)</f>
        <v>-7047</v>
      </c>
      <c r="L92" s="215">
        <f>ROUND(L88-L91,5)</f>
        <v>-74217.149999999994</v>
      </c>
      <c r="M92" s="215">
        <f>ROUND(SUM(J92:L92),5)</f>
        <v>-81264.149999999994</v>
      </c>
      <c r="N92" s="215">
        <f>ROUND(N88-N91,5)</f>
        <v>0</v>
      </c>
      <c r="O92" s="215">
        <f>ROUND(O88-O91,5)</f>
        <v>0</v>
      </c>
      <c r="P92" s="215">
        <f>ROUND(SUM(N92:O92),5)</f>
        <v>0</v>
      </c>
      <c r="Q92" s="214"/>
      <c r="R92" s="215">
        <f>ROUND(M92+SUM(P92:Q92),5)</f>
        <v>-81264.149999999994</v>
      </c>
      <c r="S92" s="215">
        <f>ROUND(I92+R92,5)</f>
        <v>-81264.149999999994</v>
      </c>
    </row>
    <row r="93" spans="1:19" s="223" customFormat="1" ht="11" thickBot="1">
      <c r="A93" s="209" t="s">
        <v>399</v>
      </c>
      <c r="B93" s="209"/>
      <c r="C93" s="209"/>
      <c r="D93" s="209"/>
      <c r="E93" s="209"/>
      <c r="F93" s="209"/>
      <c r="G93" s="209"/>
      <c r="H93" s="222">
        <f>ROUND(H87+H92,5)</f>
        <v>-2968.41</v>
      </c>
      <c r="I93" s="222">
        <f>H93</f>
        <v>-2968.41</v>
      </c>
      <c r="J93" s="222">
        <f>ROUND(J87+J92,5)</f>
        <v>-8963.66</v>
      </c>
      <c r="K93" s="222">
        <f>ROUND(K87+K92,5)</f>
        <v>-496739.78</v>
      </c>
      <c r="L93" s="222">
        <f>ROUND(L87+L92,5)</f>
        <v>-8430939.8300000001</v>
      </c>
      <c r="M93" s="222">
        <f>ROUND(SUM(J93:L93),5)</f>
        <v>-8936643.2699999996</v>
      </c>
      <c r="N93" s="222">
        <f>ROUND(N87+N92,5)</f>
        <v>-19441.03</v>
      </c>
      <c r="O93" s="222">
        <f>ROUND(O87+O92,5)</f>
        <v>-99407.97</v>
      </c>
      <c r="P93" s="222">
        <f>ROUND(SUM(N93:O93),5)</f>
        <v>-118849</v>
      </c>
      <c r="Q93" s="222">
        <f>ROUND(Q87+Q92,5)</f>
        <v>-869501.94</v>
      </c>
      <c r="R93" s="222">
        <f>ROUND(M93+SUM(P93:Q93),5)</f>
        <v>-9924994.2100000009</v>
      </c>
      <c r="S93" s="222">
        <f>ROUND(I93+R93,5)</f>
        <v>-9927962.6199999992</v>
      </c>
    </row>
    <row r="94" spans="1:19" ht="15" thickTop="1"/>
  </sheetData>
  <pageMargins left="0.7" right="0.7" top="0.75" bottom="0.75" header="0.1" footer="0.3"/>
  <pageSetup orientation="portrait"/>
  <headerFooter>
    <oddFooter>&amp;R&amp;"Arial,Bold"&amp;8 Page &amp;P of &amp;N</oddFooter>
  </headerFooter>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A24"/>
  <sheetViews>
    <sheetView workbookViewId="0">
      <pane xSplit="6" ySplit="1" topLeftCell="G2" activePane="bottomRight" state="frozenSplit"/>
      <selection pane="topRight" activeCell="G1" sqref="G1"/>
      <selection pane="bottomLeft" activeCell="A2" sqref="A2"/>
      <selection pane="bottomRight" activeCell="L36" sqref="L36"/>
    </sheetView>
  </sheetViews>
  <sheetFormatPr baseColWidth="10" defaultColWidth="8.83203125" defaultRowHeight="14" x14ac:dyDescent="0"/>
  <cols>
    <col min="1" max="5" width="3" style="216" customWidth="1"/>
    <col min="6" max="6" width="57.5" style="216" customWidth="1"/>
    <col min="7" max="7" width="11.5" style="217" bestFit="1" customWidth="1"/>
    <col min="8" max="8" width="2.33203125" style="217" customWidth="1"/>
    <col min="9" max="9" width="11.5" style="217" bestFit="1" customWidth="1"/>
    <col min="10" max="10" width="2.33203125" style="217" customWidth="1"/>
    <col min="11" max="11" width="11.5" style="217" bestFit="1" customWidth="1"/>
    <col min="12" max="12" width="2.33203125" style="217" customWidth="1"/>
    <col min="13" max="13" width="11.5" style="217" bestFit="1" customWidth="1"/>
    <col min="14" max="14" width="2.33203125" style="217" customWidth="1"/>
    <col min="15" max="15" width="12.5" style="217" bestFit="1" customWidth="1"/>
    <col min="16" max="16" width="2.33203125" style="217" customWidth="1"/>
    <col min="17" max="17" width="11.5" style="217" bestFit="1" customWidth="1"/>
    <col min="18" max="18" width="2.33203125" style="217" customWidth="1"/>
    <col min="19" max="19" width="12.5" style="217" bestFit="1" customWidth="1"/>
    <col min="20" max="20" width="2.33203125" style="217" customWidth="1"/>
    <col min="21" max="21" width="12.5" style="217" bestFit="1" customWidth="1"/>
    <col min="22" max="22" width="2.33203125" style="217" customWidth="1"/>
    <col min="23" max="23" width="11.5" style="217" customWidth="1"/>
    <col min="24" max="24" width="2.33203125" style="217" customWidth="1"/>
    <col min="25" max="25" width="11.1640625" style="217" bestFit="1" customWidth="1"/>
    <col min="26" max="26" width="2.33203125" style="217" customWidth="1"/>
    <col min="27" max="27" width="11.1640625" style="217" bestFit="1" customWidth="1"/>
    <col min="28" max="28" width="2.33203125" style="217" customWidth="1"/>
    <col min="29" max="29" width="11.1640625" style="217" bestFit="1" customWidth="1"/>
    <col min="30" max="30" width="2.33203125" style="217" customWidth="1"/>
    <col min="31" max="31" width="11.1640625" style="217" bestFit="1" customWidth="1"/>
    <col min="32" max="32" width="2.33203125" style="217" customWidth="1"/>
    <col min="33" max="33" width="9.83203125" style="217" bestFit="1" customWidth="1"/>
    <col min="34" max="34" width="2.33203125" style="217" customWidth="1"/>
    <col min="35" max="35" width="11.1640625" style="217" bestFit="1" customWidth="1"/>
    <col min="36" max="36" width="2.33203125" style="217" customWidth="1"/>
    <col min="37" max="37" width="11.1640625" style="217" bestFit="1" customWidth="1"/>
    <col min="38" max="38" width="2.33203125" style="217" customWidth="1"/>
    <col min="39" max="39" width="14.33203125" style="217" bestFit="1" customWidth="1"/>
    <col min="40" max="40" width="2.33203125" style="217" customWidth="1"/>
    <col min="41" max="41" width="11.1640625" style="217" bestFit="1" customWidth="1"/>
    <col min="42" max="42" width="2.33203125" style="217" customWidth="1"/>
    <col min="43" max="43" width="11.1640625" style="217" bestFit="1" customWidth="1"/>
    <col min="44" max="44" width="2.33203125" style="217" customWidth="1"/>
    <col min="45" max="45" width="11.1640625" style="217" bestFit="1" customWidth="1"/>
    <col min="46" max="46" width="2.33203125" style="217" customWidth="1"/>
    <col min="47" max="47" width="11.1640625" style="217" bestFit="1" customWidth="1"/>
    <col min="48" max="48" width="2.33203125" style="217" customWidth="1"/>
    <col min="49" max="49" width="11.1640625" style="217" bestFit="1" customWidth="1"/>
    <col min="50" max="50" width="2.33203125" style="217" customWidth="1"/>
    <col min="51" max="51" width="12" style="217" bestFit="1" customWidth="1"/>
    <col min="52" max="52" width="8.83203125" style="212"/>
    <col min="53" max="53" width="13.1640625" style="212" bestFit="1" customWidth="1"/>
    <col min="54" max="16384" width="8.83203125" style="212"/>
  </cols>
  <sheetData>
    <row r="1" spans="1:53" s="208" customFormat="1" ht="16" thickBot="1">
      <c r="A1" s="205"/>
      <c r="B1" s="205"/>
      <c r="C1" s="205"/>
      <c r="D1" s="205"/>
      <c r="E1" s="205"/>
      <c r="F1" s="205"/>
      <c r="G1" s="206" t="s">
        <v>308</v>
      </c>
      <c r="H1" s="207"/>
      <c r="I1" s="206" t="s">
        <v>309</v>
      </c>
      <c r="J1" s="207"/>
      <c r="K1" s="206" t="s">
        <v>310</v>
      </c>
      <c r="L1" s="207"/>
      <c r="M1" s="206" t="s">
        <v>311</v>
      </c>
      <c r="N1" s="207"/>
      <c r="O1" s="206" t="s">
        <v>312</v>
      </c>
      <c r="P1" s="207"/>
      <c r="Q1" s="206" t="s">
        <v>313</v>
      </c>
      <c r="R1" s="207"/>
      <c r="S1" s="206" t="s">
        <v>314</v>
      </c>
      <c r="T1" s="207"/>
      <c r="U1" s="206" t="s">
        <v>315</v>
      </c>
      <c r="V1" s="207"/>
      <c r="W1" s="206" t="s">
        <v>316</v>
      </c>
      <c r="X1" s="207"/>
      <c r="Y1" s="206" t="s">
        <v>317</v>
      </c>
      <c r="Z1" s="207"/>
      <c r="AA1" s="206" t="s">
        <v>318</v>
      </c>
      <c r="AB1" s="207"/>
      <c r="AC1" s="206" t="s">
        <v>319</v>
      </c>
      <c r="AD1" s="207"/>
      <c r="AE1" s="206" t="s">
        <v>320</v>
      </c>
      <c r="AF1" s="207"/>
      <c r="AG1" s="206" t="s">
        <v>321</v>
      </c>
      <c r="AH1" s="207"/>
      <c r="AI1" s="206" t="s">
        <v>322</v>
      </c>
      <c r="AJ1" s="207"/>
      <c r="AK1" s="206" t="s">
        <v>323</v>
      </c>
      <c r="AL1" s="207"/>
      <c r="AM1" s="206" t="s">
        <v>324</v>
      </c>
      <c r="AN1" s="207"/>
      <c r="AO1" s="206" t="s">
        <v>325</v>
      </c>
      <c r="AP1" s="207"/>
      <c r="AQ1" s="206" t="s">
        <v>326</v>
      </c>
      <c r="AR1" s="207"/>
      <c r="AS1" s="206" t="s">
        <v>327</v>
      </c>
      <c r="AT1" s="207"/>
      <c r="AU1" s="206" t="s">
        <v>328</v>
      </c>
      <c r="AV1" s="207"/>
      <c r="AW1" s="206" t="s">
        <v>329</v>
      </c>
      <c r="AX1" s="207"/>
      <c r="AY1" s="206" t="s">
        <v>90</v>
      </c>
      <c r="BA1"/>
    </row>
    <row r="2" spans="1:53" ht="16" thickTop="1">
      <c r="A2" s="209"/>
      <c r="B2" s="209"/>
      <c r="C2" s="209"/>
      <c r="D2" s="209"/>
      <c r="E2" s="209"/>
      <c r="F2" s="209" t="s">
        <v>335</v>
      </c>
      <c r="G2" s="210">
        <v>330064.48</v>
      </c>
      <c r="H2" s="211"/>
      <c r="I2" s="210">
        <v>249298.41</v>
      </c>
      <c r="J2" s="211"/>
      <c r="K2" s="210">
        <v>132725.44</v>
      </c>
      <c r="L2" s="211"/>
      <c r="M2" s="210">
        <v>964298.95</v>
      </c>
      <c r="N2" s="211"/>
      <c r="O2" s="210">
        <v>157202.63</v>
      </c>
      <c r="P2" s="211"/>
      <c r="Q2" s="210">
        <v>116250.14</v>
      </c>
      <c r="R2" s="211"/>
      <c r="S2" s="210">
        <v>606947.47</v>
      </c>
      <c r="T2" s="211"/>
      <c r="U2" s="210">
        <v>127355.65</v>
      </c>
      <c r="V2" s="211"/>
      <c r="W2" s="210">
        <v>176960.47</v>
      </c>
      <c r="X2" s="211"/>
      <c r="Y2" s="210">
        <v>978322.49</v>
      </c>
      <c r="Z2" s="211"/>
      <c r="AA2" s="210">
        <v>617626.49</v>
      </c>
      <c r="AB2" s="211"/>
      <c r="AC2" s="210">
        <v>425357.89</v>
      </c>
      <c r="AD2" s="211"/>
      <c r="AE2" s="210">
        <v>939672.08</v>
      </c>
      <c r="AF2" s="211"/>
      <c r="AG2" s="210">
        <v>545562.6</v>
      </c>
      <c r="AH2" s="211"/>
      <c r="AI2" s="210">
        <v>545289.93000000005</v>
      </c>
      <c r="AJ2" s="211"/>
      <c r="AK2" s="210">
        <v>576287.41</v>
      </c>
      <c r="AL2" s="211"/>
      <c r="AM2" s="210">
        <v>976403.14</v>
      </c>
      <c r="AN2" s="211"/>
      <c r="AO2" s="210">
        <v>1031904.39</v>
      </c>
      <c r="AP2" s="211"/>
      <c r="AQ2" s="210">
        <v>817007.03</v>
      </c>
      <c r="AR2" s="211"/>
      <c r="AS2" s="210">
        <v>937328.3</v>
      </c>
      <c r="AT2" s="211"/>
      <c r="AU2" s="210">
        <v>1113057.8400000001</v>
      </c>
      <c r="AV2" s="211"/>
      <c r="AW2" s="210">
        <v>1008958.2</v>
      </c>
      <c r="AX2" s="211"/>
      <c r="AY2" s="210">
        <f t="shared" ref="AY2:AY3" si="0">ROUND(SUM(G2:AW2),5)</f>
        <v>13373881.43</v>
      </c>
      <c r="BA2"/>
    </row>
    <row r="3" spans="1:53" ht="15">
      <c r="A3" s="209"/>
      <c r="B3" s="209"/>
      <c r="C3" s="209"/>
      <c r="D3" s="209"/>
      <c r="E3" s="209"/>
      <c r="F3" s="209" t="s">
        <v>336</v>
      </c>
      <c r="G3" s="214">
        <v>-11922.36</v>
      </c>
      <c r="H3" s="211"/>
      <c r="I3" s="214">
        <v>2076957.12</v>
      </c>
      <c r="J3" s="211"/>
      <c r="K3" s="214">
        <v>5318.58</v>
      </c>
      <c r="L3" s="211"/>
      <c r="M3" s="214">
        <v>0</v>
      </c>
      <c r="N3" s="211"/>
      <c r="O3" s="214">
        <v>1157788</v>
      </c>
      <c r="P3" s="211"/>
      <c r="Q3" s="214">
        <v>0</v>
      </c>
      <c r="R3" s="211"/>
      <c r="S3" s="214">
        <v>0</v>
      </c>
      <c r="T3" s="211"/>
      <c r="U3" s="214">
        <v>64084.26</v>
      </c>
      <c r="V3" s="211"/>
      <c r="W3" s="214">
        <v>957087</v>
      </c>
      <c r="X3" s="211"/>
      <c r="Y3" s="214">
        <v>855871.83</v>
      </c>
      <c r="Z3" s="211"/>
      <c r="AA3" s="214">
        <v>948160.8</v>
      </c>
      <c r="AB3" s="211"/>
      <c r="AC3" s="214">
        <v>678698.88</v>
      </c>
      <c r="AD3" s="211"/>
      <c r="AE3" s="214">
        <v>2768281.84</v>
      </c>
      <c r="AF3" s="211"/>
      <c r="AG3" s="214">
        <v>0</v>
      </c>
      <c r="AH3" s="211"/>
      <c r="AI3" s="214">
        <v>1800649.96</v>
      </c>
      <c r="AJ3" s="211"/>
      <c r="AK3" s="214">
        <v>915229.9</v>
      </c>
      <c r="AL3" s="211"/>
      <c r="AM3" s="214">
        <v>400740.68</v>
      </c>
      <c r="AN3" s="211"/>
      <c r="AO3" s="214">
        <v>889649.18</v>
      </c>
      <c r="AP3" s="211"/>
      <c r="AQ3" s="214">
        <v>1102867.21</v>
      </c>
      <c r="AR3" s="211"/>
      <c r="AS3" s="214">
        <v>1021814.61</v>
      </c>
      <c r="AT3" s="211"/>
      <c r="AU3" s="214">
        <v>919208.31</v>
      </c>
      <c r="AV3" s="211"/>
      <c r="AW3" s="214">
        <v>2312472.35</v>
      </c>
      <c r="AX3" s="211"/>
      <c r="AY3" s="214">
        <f t="shared" si="0"/>
        <v>18862958.149999999</v>
      </c>
      <c r="BA3"/>
    </row>
    <row r="5" spans="1:53">
      <c r="F5" s="216" t="s">
        <v>337</v>
      </c>
      <c r="O5" s="217" t="s">
        <v>338</v>
      </c>
      <c r="U5" s="217" t="s">
        <v>339</v>
      </c>
      <c r="AE5" s="217" t="s">
        <v>340</v>
      </c>
      <c r="AG5" s="217" t="s">
        <v>341</v>
      </c>
      <c r="AW5" s="217" t="s">
        <v>342</v>
      </c>
    </row>
    <row r="7" spans="1:53">
      <c r="F7" s="216" t="s">
        <v>343</v>
      </c>
    </row>
    <row r="9" spans="1:53" ht="15">
      <c r="F9" s="358" t="s">
        <v>662</v>
      </c>
      <c r="AM9" s="218"/>
    </row>
    <row r="10" spans="1:53">
      <c r="AM10" s="219"/>
    </row>
    <row r="13" spans="1:53" ht="15">
      <c r="G13"/>
      <c r="H13"/>
      <c r="I13"/>
      <c r="J13"/>
      <c r="K13"/>
      <c r="L13"/>
      <c r="M13"/>
      <c r="N13"/>
      <c r="O13"/>
      <c r="P13"/>
      <c r="Q13"/>
      <c r="R13"/>
      <c r="S13"/>
    </row>
    <row r="14" spans="1:53" ht="15">
      <c r="G14"/>
      <c r="H14"/>
      <c r="I14"/>
      <c r="J14"/>
      <c r="K14"/>
      <c r="L14"/>
      <c r="M14"/>
      <c r="N14"/>
      <c r="O14"/>
      <c r="P14"/>
      <c r="Q14"/>
      <c r="R14"/>
      <c r="S14"/>
    </row>
    <row r="15" spans="1:53" ht="15">
      <c r="G15"/>
      <c r="H15"/>
      <c r="I15"/>
      <c r="J15"/>
      <c r="K15"/>
      <c r="L15"/>
      <c r="M15"/>
      <c r="N15"/>
      <c r="O15"/>
      <c r="P15"/>
      <c r="Q15"/>
      <c r="R15"/>
      <c r="S15"/>
    </row>
    <row r="16" spans="1:53" ht="15">
      <c r="G16"/>
      <c r="H16"/>
      <c r="I16"/>
      <c r="J16"/>
      <c r="K16"/>
      <c r="L16"/>
      <c r="M16"/>
      <c r="N16"/>
      <c r="O16"/>
      <c r="P16"/>
      <c r="Q16"/>
      <c r="R16"/>
      <c r="S16"/>
    </row>
    <row r="17" spans="7:23" ht="16" thickBot="1">
      <c r="G17"/>
      <c r="H17"/>
      <c r="I17"/>
      <c r="J17"/>
      <c r="K17"/>
      <c r="L17"/>
      <c r="M17"/>
      <c r="N17"/>
      <c r="O17"/>
      <c r="P17"/>
      <c r="Q17"/>
      <c r="R17"/>
      <c r="S17" s="290"/>
      <c r="T17" s="287"/>
      <c r="U17" s="287" t="s">
        <v>550</v>
      </c>
      <c r="V17" s="287"/>
      <c r="W17" s="287"/>
    </row>
    <row r="18" spans="7:23" ht="15" thickBot="1">
      <c r="G18" s="286"/>
      <c r="H18" s="287"/>
      <c r="I18" s="286"/>
      <c r="J18" s="287"/>
      <c r="K18" s="287" t="s">
        <v>429</v>
      </c>
      <c r="L18" s="287"/>
      <c r="M18" s="287" t="s">
        <v>546</v>
      </c>
      <c r="N18" s="287"/>
      <c r="O18" s="287" t="s">
        <v>430</v>
      </c>
      <c r="U18" s="217" t="s">
        <v>549</v>
      </c>
      <c r="W18" s="217" t="s">
        <v>551</v>
      </c>
    </row>
    <row r="19" spans="7:23">
      <c r="G19" s="279" t="s">
        <v>249</v>
      </c>
      <c r="I19" s="220"/>
      <c r="K19" s="217">
        <f>'2014 -Revenue and transfers'!C6</f>
        <v>333994</v>
      </c>
      <c r="S19" s="217" t="s">
        <v>548</v>
      </c>
      <c r="U19" s="288">
        <f>(AQ2+AS2+AU2+AW2)/4</f>
        <v>969087.84250000003</v>
      </c>
      <c r="W19" s="288">
        <f>SUM(AA2:AW2)/12</f>
        <v>794537.94166666653</v>
      </c>
    </row>
    <row r="20" spans="7:23">
      <c r="G20" s="280" t="s">
        <v>1</v>
      </c>
      <c r="K20" s="217">
        <f>'2014 -Revenue and transfers'!C8</f>
        <v>1061057.7318901997</v>
      </c>
      <c r="M20" s="248">
        <f>K20/K19</f>
        <v>3.1768766261974757</v>
      </c>
      <c r="S20" s="217" t="s">
        <v>430</v>
      </c>
      <c r="U20" s="289">
        <v>1339090.6200000001</v>
      </c>
      <c r="W20" s="288">
        <f>SUM(AA3:AW3)/12</f>
        <v>1146481.1433333333</v>
      </c>
    </row>
    <row r="21" spans="7:23">
      <c r="G21" s="280" t="s">
        <v>2</v>
      </c>
      <c r="K21" s="220">
        <f>SUM(G2:AC2)</f>
        <v>4882410.51</v>
      </c>
      <c r="M21" s="248">
        <f>K21/K20</f>
        <v>4.6014560407588085</v>
      </c>
      <c r="O21" s="220">
        <f>SUM(G3:AC3)</f>
        <v>6732044.1099999994</v>
      </c>
    </row>
    <row r="22" spans="7:23">
      <c r="G22" s="282" t="s">
        <v>545</v>
      </c>
      <c r="H22" s="283"/>
      <c r="I22" s="283"/>
      <c r="J22" s="283"/>
      <c r="K22" s="284">
        <f>K23+K24</f>
        <v>8491470.9199999999</v>
      </c>
      <c r="L22" s="283"/>
      <c r="M22" s="285">
        <f>K22/(0.75*K21)</f>
        <v>2.3189285709338412</v>
      </c>
      <c r="N22" s="283"/>
      <c r="O22" s="284">
        <f>O23+O24</f>
        <v>12130914.039999999</v>
      </c>
    </row>
    <row r="23" spans="7:23">
      <c r="H23" s="217" t="s">
        <v>428</v>
      </c>
      <c r="K23" s="220">
        <f>SUM(AE2:AO2)</f>
        <v>4615119.55</v>
      </c>
      <c r="O23" s="220">
        <f>SUM(AE3:AO3)</f>
        <v>6774551.5599999996</v>
      </c>
    </row>
    <row r="24" spans="7:23">
      <c r="H24" s="217" t="s">
        <v>547</v>
      </c>
      <c r="K24" s="281">
        <v>3876351.37</v>
      </c>
      <c r="O24" s="220">
        <f>SUM(AQ3:AW3)</f>
        <v>5356362.4800000004</v>
      </c>
    </row>
  </sheetData>
  <pageMargins left="0.7" right="0.7" top="0.75" bottom="0.75" header="0.1" footer="0.3"/>
  <pageSetup orientation="portrait" horizontalDpi="300" verticalDpi="300"/>
  <headerFooter>
    <oddHeader>&amp;L&amp;"Arial,Bold"&amp;8 11:28 AM
&amp;"Arial,Bold"&amp;8 09/04/15
&amp;"Arial,Bold"&amp;8 Accrual Basis&amp;C&amp;"Arial,Bold"&amp;12 GiveDirectly, Inc.
&amp;"Arial,Bold"&amp;14 Profit &amp;&amp; Loss
&amp;"Arial,Bold"&amp;10 September 2013 through June 2015</oddHeader>
    <oddFooter>&amp;R&amp;"Arial,Bold"&amp;8 Page &amp;P of &amp;N</oddFooter>
  </headerFooter>
  <drawing r:id="rId1"/>
  <legacyDrawing r:id="rId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3"/>
  <sheetViews>
    <sheetView zoomScale="120" zoomScaleNormal="120" zoomScalePageLayoutView="120" workbookViewId="0">
      <pane xSplit="6" ySplit="1" topLeftCell="G2" activePane="bottomRight" state="frozenSplit"/>
      <selection pane="topRight" activeCell="G1" sqref="G1"/>
      <selection pane="bottomLeft" activeCell="A2" sqref="A2"/>
      <selection pane="bottomRight" activeCell="K17" sqref="K17"/>
    </sheetView>
  </sheetViews>
  <sheetFormatPr baseColWidth="10" defaultColWidth="8.83203125" defaultRowHeight="14" x14ac:dyDescent="0"/>
  <cols>
    <col min="1" max="5" width="3" style="216" customWidth="1"/>
    <col min="6" max="6" width="26.6640625" style="216" customWidth="1"/>
    <col min="7" max="7" width="12" style="256" bestFit="1" customWidth="1"/>
    <col min="8" max="9" width="10.6640625" style="212" bestFit="1" customWidth="1"/>
    <col min="10" max="16384" width="8.83203125" style="212"/>
  </cols>
  <sheetData>
    <row r="1" spans="1:7" s="208" customFormat="1" ht="15" thickBot="1">
      <c r="A1" s="357" t="s">
        <v>663</v>
      </c>
      <c r="B1" s="205"/>
      <c r="C1" s="205"/>
      <c r="D1" s="205"/>
      <c r="E1" s="205"/>
      <c r="F1" s="205"/>
      <c r="G1" s="249" t="s">
        <v>431</v>
      </c>
    </row>
    <row r="2" spans="1:7" ht="15" thickTop="1">
      <c r="A2" s="209" t="s">
        <v>432</v>
      </c>
      <c r="B2" s="209"/>
      <c r="C2" s="209"/>
      <c r="D2" s="209"/>
      <c r="E2" s="209"/>
      <c r="F2" s="209"/>
      <c r="G2" s="250"/>
    </row>
    <row r="3" spans="1:7">
      <c r="A3" s="209"/>
      <c r="B3" s="209" t="s">
        <v>433</v>
      </c>
      <c r="C3" s="209"/>
      <c r="D3" s="209"/>
      <c r="E3" s="209"/>
      <c r="F3" s="209"/>
      <c r="G3" s="250"/>
    </row>
    <row r="4" spans="1:7">
      <c r="A4" s="209"/>
      <c r="B4" s="209"/>
      <c r="C4" s="209" t="s">
        <v>434</v>
      </c>
      <c r="D4" s="209"/>
      <c r="E4" s="209"/>
      <c r="F4" s="209"/>
      <c r="G4" s="250"/>
    </row>
    <row r="5" spans="1:7">
      <c r="A5" s="209"/>
      <c r="B5" s="209"/>
      <c r="C5" s="209"/>
      <c r="D5" s="209" t="s">
        <v>435</v>
      </c>
      <c r="E5" s="209"/>
      <c r="F5" s="209"/>
      <c r="G5" s="250">
        <v>459211.64</v>
      </c>
    </row>
    <row r="6" spans="1:7">
      <c r="A6" s="209"/>
      <c r="B6" s="209"/>
      <c r="C6" s="209"/>
      <c r="D6" s="209" t="s">
        <v>436</v>
      </c>
      <c r="E6" s="209"/>
      <c r="F6" s="209"/>
      <c r="G6" s="250">
        <v>3268519.3</v>
      </c>
    </row>
    <row r="7" spans="1:7">
      <c r="A7" s="209"/>
      <c r="B7" s="209"/>
      <c r="C7" s="209"/>
      <c r="D7" s="209" t="s">
        <v>437</v>
      </c>
      <c r="E7" s="209"/>
      <c r="F7" s="209"/>
      <c r="G7" s="250">
        <v>9923640.75</v>
      </c>
    </row>
    <row r="8" spans="1:7">
      <c r="A8" s="209"/>
      <c r="B8" s="209"/>
      <c r="C8" s="209"/>
      <c r="D8" s="209" t="s">
        <v>438</v>
      </c>
      <c r="E8" s="209"/>
      <c r="F8" s="209"/>
      <c r="G8" s="250">
        <v>33469307.379999999</v>
      </c>
    </row>
    <row r="9" spans="1:7">
      <c r="A9" s="209"/>
      <c r="B9" s="209"/>
      <c r="C9" s="209"/>
      <c r="D9" s="209" t="s">
        <v>439</v>
      </c>
      <c r="E9" s="209"/>
      <c r="F9" s="209"/>
      <c r="G9" s="250">
        <v>1</v>
      </c>
    </row>
    <row r="10" spans="1:7">
      <c r="A10" s="209"/>
      <c r="B10" s="209"/>
      <c r="C10" s="209"/>
      <c r="D10" s="209" t="s">
        <v>440</v>
      </c>
      <c r="E10" s="209"/>
      <c r="F10" s="209"/>
      <c r="G10" s="250">
        <v>0.01</v>
      </c>
    </row>
    <row r="11" spans="1:7">
      <c r="A11" s="209"/>
      <c r="B11" s="209"/>
      <c r="C11" s="209"/>
      <c r="D11" s="209" t="s">
        <v>441</v>
      </c>
      <c r="E11" s="209"/>
      <c r="F11" s="209"/>
      <c r="G11" s="250">
        <v>1006.8</v>
      </c>
    </row>
    <row r="12" spans="1:7">
      <c r="A12" s="209"/>
      <c r="B12" s="209"/>
      <c r="C12" s="209"/>
      <c r="D12" s="209" t="s">
        <v>442</v>
      </c>
      <c r="E12" s="209"/>
      <c r="F12" s="209"/>
      <c r="G12" s="250">
        <v>0.02</v>
      </c>
    </row>
    <row r="13" spans="1:7">
      <c r="A13" s="209"/>
      <c r="B13" s="209"/>
      <c r="C13" s="209"/>
      <c r="D13" s="209" t="s">
        <v>443</v>
      </c>
      <c r="E13" s="209"/>
      <c r="F13" s="209"/>
      <c r="G13" s="250">
        <v>2470883.04</v>
      </c>
    </row>
    <row r="14" spans="1:7">
      <c r="A14" s="209"/>
      <c r="B14" s="209"/>
      <c r="C14" s="209"/>
      <c r="D14" s="209" t="s">
        <v>444</v>
      </c>
      <c r="E14" s="209"/>
      <c r="F14" s="209"/>
      <c r="G14" s="250">
        <v>2.87</v>
      </c>
    </row>
    <row r="15" spans="1:7">
      <c r="A15" s="209"/>
      <c r="B15" s="209"/>
      <c r="C15" s="209"/>
      <c r="D15" s="209" t="s">
        <v>445</v>
      </c>
      <c r="E15" s="209"/>
      <c r="F15" s="209"/>
      <c r="G15" s="250">
        <v>6374.53</v>
      </c>
    </row>
    <row r="16" spans="1:7">
      <c r="A16" s="209"/>
      <c r="B16" s="209"/>
      <c r="C16" s="209"/>
      <c r="D16" s="209" t="s">
        <v>446</v>
      </c>
      <c r="E16" s="209"/>
      <c r="F16" s="209"/>
      <c r="G16" s="250">
        <v>2508.17</v>
      </c>
    </row>
    <row r="17" spans="1:7">
      <c r="A17" s="209"/>
      <c r="B17" s="209"/>
      <c r="C17" s="209"/>
      <c r="D17" s="209" t="s">
        <v>447</v>
      </c>
      <c r="E17" s="209"/>
      <c r="F17" s="209"/>
      <c r="G17" s="250">
        <v>116284.06</v>
      </c>
    </row>
    <row r="18" spans="1:7">
      <c r="A18" s="209"/>
      <c r="B18" s="209"/>
      <c r="C18" s="209"/>
      <c r="D18" s="209" t="s">
        <v>448</v>
      </c>
      <c r="E18" s="209"/>
      <c r="F18" s="209"/>
      <c r="G18" s="250">
        <v>179.28</v>
      </c>
    </row>
    <row r="19" spans="1:7">
      <c r="A19" s="209"/>
      <c r="B19" s="209"/>
      <c r="C19" s="209"/>
      <c r="D19" s="209" t="s">
        <v>449</v>
      </c>
      <c r="E19" s="209"/>
      <c r="F19" s="209"/>
      <c r="G19" s="250">
        <v>162.19</v>
      </c>
    </row>
    <row r="20" spans="1:7">
      <c r="A20" s="209"/>
      <c r="B20" s="209"/>
      <c r="C20" s="209"/>
      <c r="D20" s="209" t="s">
        <v>450</v>
      </c>
      <c r="E20" s="209"/>
      <c r="F20" s="209"/>
      <c r="G20" s="250">
        <v>2857.72</v>
      </c>
    </row>
    <row r="21" spans="1:7">
      <c r="A21" s="209"/>
      <c r="B21" s="209"/>
      <c r="C21" s="209"/>
      <c r="D21" s="209" t="s">
        <v>451</v>
      </c>
      <c r="E21" s="209"/>
      <c r="F21" s="209"/>
      <c r="G21" s="250">
        <v>4041.06</v>
      </c>
    </row>
    <row r="22" spans="1:7">
      <c r="A22" s="209"/>
      <c r="B22" s="209"/>
      <c r="C22" s="209"/>
      <c r="D22" s="209" t="s">
        <v>452</v>
      </c>
      <c r="E22" s="209"/>
      <c r="F22" s="209"/>
      <c r="G22" s="250">
        <v>531443.31999999995</v>
      </c>
    </row>
    <row r="23" spans="1:7">
      <c r="A23" s="209"/>
      <c r="B23" s="209"/>
      <c r="C23" s="209"/>
      <c r="D23" s="209" t="s">
        <v>453</v>
      </c>
      <c r="E23" s="209"/>
      <c r="F23" s="209"/>
      <c r="G23" s="250">
        <v>8</v>
      </c>
    </row>
    <row r="24" spans="1:7">
      <c r="A24" s="209"/>
      <c r="B24" s="209"/>
      <c r="C24" s="209"/>
      <c r="D24" s="209" t="s">
        <v>454</v>
      </c>
      <c r="E24" s="209"/>
      <c r="F24" s="209"/>
      <c r="G24" s="250">
        <v>115.93</v>
      </c>
    </row>
    <row r="25" spans="1:7">
      <c r="A25" s="209"/>
      <c r="B25" s="209"/>
      <c r="C25" s="209"/>
      <c r="D25" s="209" t="s">
        <v>455</v>
      </c>
      <c r="E25" s="209"/>
      <c r="F25" s="209"/>
      <c r="G25" s="250">
        <v>-1921.38</v>
      </c>
    </row>
    <row r="26" spans="1:7" ht="15" thickBot="1">
      <c r="A26" s="209"/>
      <c r="B26" s="209"/>
      <c r="C26" s="209"/>
      <c r="D26" s="209" t="s">
        <v>456</v>
      </c>
      <c r="E26" s="209"/>
      <c r="F26" s="209"/>
      <c r="G26" s="251">
        <v>6.83</v>
      </c>
    </row>
    <row r="27" spans="1:7">
      <c r="A27" s="209"/>
      <c r="B27" s="209"/>
      <c r="C27" s="209" t="s">
        <v>457</v>
      </c>
      <c r="D27" s="209"/>
      <c r="E27" s="209"/>
      <c r="F27" s="209"/>
      <c r="G27" s="250">
        <f>ROUND(SUM(G4:G26),5)</f>
        <v>50254632.520000003</v>
      </c>
    </row>
    <row r="28" spans="1:7">
      <c r="A28" s="209"/>
      <c r="B28" s="209"/>
      <c r="C28" s="209" t="s">
        <v>458</v>
      </c>
      <c r="D28" s="209"/>
      <c r="E28" s="209"/>
      <c r="F28" s="209"/>
      <c r="G28" s="250"/>
    </row>
    <row r="29" spans="1:7">
      <c r="A29" s="209"/>
      <c r="B29" s="209"/>
      <c r="C29" s="209"/>
      <c r="D29" s="209" t="s">
        <v>459</v>
      </c>
      <c r="E29" s="209"/>
      <c r="F29" s="209"/>
      <c r="G29" s="250">
        <v>57478.59</v>
      </c>
    </row>
    <row r="30" spans="1:7">
      <c r="A30" s="209"/>
      <c r="B30" s="209"/>
      <c r="C30" s="209"/>
      <c r="D30" s="209" t="s">
        <v>460</v>
      </c>
      <c r="E30" s="209"/>
      <c r="F30" s="209"/>
      <c r="G30" s="250"/>
    </row>
    <row r="31" spans="1:7">
      <c r="A31" s="209"/>
      <c r="B31" s="209"/>
      <c r="C31" s="209"/>
      <c r="D31" s="209"/>
      <c r="E31" s="209" t="s">
        <v>461</v>
      </c>
      <c r="F31" s="209"/>
      <c r="G31" s="250">
        <v>491.7</v>
      </c>
    </row>
    <row r="32" spans="1:7">
      <c r="A32" s="209"/>
      <c r="B32" s="209"/>
      <c r="C32" s="209"/>
      <c r="D32" s="209"/>
      <c r="E32" s="209" t="s">
        <v>462</v>
      </c>
      <c r="F32" s="209"/>
      <c r="G32" s="250">
        <v>23239.85</v>
      </c>
    </row>
    <row r="33" spans="1:7" ht="15" thickBot="1">
      <c r="A33" s="209"/>
      <c r="B33" s="209"/>
      <c r="C33" s="209"/>
      <c r="D33" s="209"/>
      <c r="E33" s="209" t="s">
        <v>463</v>
      </c>
      <c r="F33" s="209"/>
      <c r="G33" s="251">
        <v>1856</v>
      </c>
    </row>
    <row r="34" spans="1:7">
      <c r="A34" s="209"/>
      <c r="B34" s="209"/>
      <c r="C34" s="209"/>
      <c r="D34" s="209" t="s">
        <v>464</v>
      </c>
      <c r="E34" s="209"/>
      <c r="F34" s="209"/>
      <c r="G34" s="250">
        <f>ROUND(SUM(G30:G33),5)</f>
        <v>25587.55</v>
      </c>
    </row>
    <row r="35" spans="1:7">
      <c r="A35" s="209"/>
      <c r="B35" s="209"/>
      <c r="C35" s="209"/>
      <c r="D35" s="209" t="s">
        <v>465</v>
      </c>
      <c r="E35" s="209"/>
      <c r="F35" s="209"/>
      <c r="G35" s="250">
        <v>346</v>
      </c>
    </row>
    <row r="36" spans="1:7">
      <c r="A36" s="209"/>
      <c r="B36" s="209"/>
      <c r="C36" s="209"/>
      <c r="D36" s="209" t="s">
        <v>466</v>
      </c>
      <c r="E36" s="209"/>
      <c r="F36" s="209"/>
      <c r="G36" s="250"/>
    </row>
    <row r="37" spans="1:7">
      <c r="A37" s="209"/>
      <c r="B37" s="209"/>
      <c r="C37" s="209"/>
      <c r="D37" s="209"/>
      <c r="E37" s="209" t="s">
        <v>467</v>
      </c>
      <c r="F37" s="209"/>
      <c r="G37" s="250">
        <v>2731.28</v>
      </c>
    </row>
    <row r="38" spans="1:7">
      <c r="A38" s="209"/>
      <c r="B38" s="209"/>
      <c r="C38" s="209"/>
      <c r="D38" s="209"/>
      <c r="E38" s="209" t="s">
        <v>468</v>
      </c>
      <c r="F38" s="209"/>
      <c r="G38" s="250">
        <v>2390.7399999999998</v>
      </c>
    </row>
    <row r="39" spans="1:7" ht="15" thickBot="1">
      <c r="A39" s="209"/>
      <c r="B39" s="209"/>
      <c r="C39" s="209"/>
      <c r="D39" s="209"/>
      <c r="E39" s="209" t="s">
        <v>469</v>
      </c>
      <c r="F39" s="209"/>
      <c r="G39" s="251">
        <v>2152.6799999999998</v>
      </c>
    </row>
    <row r="40" spans="1:7">
      <c r="A40" s="209"/>
      <c r="B40" s="209"/>
      <c r="C40" s="209"/>
      <c r="D40" s="209" t="s">
        <v>470</v>
      </c>
      <c r="E40" s="209"/>
      <c r="F40" s="209"/>
      <c r="G40" s="250">
        <f>ROUND(SUM(G36:G39),5)</f>
        <v>7274.7</v>
      </c>
    </row>
    <row r="41" spans="1:7">
      <c r="A41" s="209"/>
      <c r="B41" s="209"/>
      <c r="C41" s="209"/>
      <c r="D41" s="209" t="s">
        <v>471</v>
      </c>
      <c r="E41" s="209"/>
      <c r="F41" s="209"/>
      <c r="G41" s="250">
        <v>10465.85</v>
      </c>
    </row>
    <row r="42" spans="1:7">
      <c r="A42" s="209"/>
      <c r="B42" s="209"/>
      <c r="C42" s="209"/>
      <c r="D42" s="209" t="s">
        <v>472</v>
      </c>
      <c r="E42" s="209"/>
      <c r="F42" s="209"/>
      <c r="G42" s="250"/>
    </row>
    <row r="43" spans="1:7">
      <c r="A43" s="209"/>
      <c r="B43" s="209"/>
      <c r="C43" s="209"/>
      <c r="D43" s="209"/>
      <c r="E43" s="209" t="s">
        <v>473</v>
      </c>
      <c r="F43" s="209"/>
      <c r="G43" s="250">
        <v>2111.36</v>
      </c>
    </row>
    <row r="44" spans="1:7" ht="15" thickBot="1">
      <c r="A44" s="209"/>
      <c r="B44" s="209"/>
      <c r="C44" s="209"/>
      <c r="D44" s="209"/>
      <c r="E44" s="209" t="s">
        <v>474</v>
      </c>
      <c r="F44" s="209"/>
      <c r="G44" s="252">
        <v>4179.17</v>
      </c>
    </row>
    <row r="45" spans="1:7" ht="15" thickBot="1">
      <c r="A45" s="209"/>
      <c r="B45" s="209"/>
      <c r="C45" s="209"/>
      <c r="D45" s="209" t="s">
        <v>475</v>
      </c>
      <c r="E45" s="209"/>
      <c r="F45" s="209"/>
      <c r="G45" s="253">
        <f>ROUND(SUM(G42:G44),5)</f>
        <v>6290.53</v>
      </c>
    </row>
    <row r="46" spans="1:7" ht="15" thickBot="1">
      <c r="A46" s="209"/>
      <c r="B46" s="209"/>
      <c r="C46" s="209" t="s">
        <v>476</v>
      </c>
      <c r="D46" s="209"/>
      <c r="E46" s="209"/>
      <c r="F46" s="209"/>
      <c r="G46" s="254">
        <f>ROUND(SUM(G28:G29)+SUM(G34:G35)+SUM(G40:G41)+G45,5)</f>
        <v>107443.22</v>
      </c>
    </row>
    <row r="47" spans="1:7">
      <c r="A47" s="209"/>
      <c r="B47" s="209" t="s">
        <v>477</v>
      </c>
      <c r="C47" s="209"/>
      <c r="D47" s="209"/>
      <c r="E47" s="209"/>
      <c r="F47" s="209"/>
      <c r="G47" s="250">
        <f>ROUND(G3+G27+G46,5)</f>
        <v>50362075.740000002</v>
      </c>
    </row>
    <row r="48" spans="1:7">
      <c r="A48" s="209"/>
      <c r="B48" s="209" t="s">
        <v>478</v>
      </c>
      <c r="C48" s="209"/>
      <c r="D48" s="209"/>
      <c r="E48" s="209"/>
      <c r="F48" s="209"/>
      <c r="G48" s="250"/>
    </row>
    <row r="49" spans="1:7">
      <c r="A49" s="209"/>
      <c r="B49" s="209"/>
      <c r="C49" s="209" t="s">
        <v>479</v>
      </c>
      <c r="D49" s="209"/>
      <c r="E49" s="209"/>
      <c r="F49" s="209"/>
      <c r="G49" s="250"/>
    </row>
    <row r="50" spans="1:7">
      <c r="A50" s="209"/>
      <c r="B50" s="209"/>
      <c r="C50" s="209"/>
      <c r="D50" s="209" t="s">
        <v>480</v>
      </c>
      <c r="E50" s="209"/>
      <c r="F50" s="209"/>
      <c r="G50" s="250">
        <v>9373.1299999999992</v>
      </c>
    </row>
    <row r="51" spans="1:7">
      <c r="A51" s="209"/>
      <c r="B51" s="209"/>
      <c r="C51" s="209"/>
      <c r="D51" s="209" t="s">
        <v>481</v>
      </c>
      <c r="E51" s="209"/>
      <c r="F51" s="209"/>
      <c r="G51" s="250">
        <v>4657.88</v>
      </c>
    </row>
    <row r="52" spans="1:7" ht="15" thickBot="1">
      <c r="A52" s="209"/>
      <c r="B52" s="209"/>
      <c r="C52" s="209"/>
      <c r="D52" s="209" t="s">
        <v>482</v>
      </c>
      <c r="E52" s="209"/>
      <c r="F52" s="209"/>
      <c r="G52" s="251">
        <v>-5059.62</v>
      </c>
    </row>
    <row r="53" spans="1:7">
      <c r="A53" s="209"/>
      <c r="B53" s="209"/>
      <c r="C53" s="209" t="s">
        <v>483</v>
      </c>
      <c r="D53" s="209"/>
      <c r="E53" s="209"/>
      <c r="F53" s="209"/>
      <c r="G53" s="250">
        <f>ROUND(SUM(G49:G52),5)</f>
        <v>8971.39</v>
      </c>
    </row>
    <row r="54" spans="1:7">
      <c r="A54" s="209"/>
      <c r="B54" s="209"/>
      <c r="C54" s="209" t="s">
        <v>484</v>
      </c>
      <c r="D54" s="209"/>
      <c r="E54" s="209"/>
      <c r="F54" s="209"/>
      <c r="G54" s="250"/>
    </row>
    <row r="55" spans="1:7">
      <c r="A55" s="209"/>
      <c r="B55" s="209"/>
      <c r="C55" s="209"/>
      <c r="D55" s="209" t="s">
        <v>485</v>
      </c>
      <c r="E55" s="209"/>
      <c r="F55" s="209"/>
      <c r="G55" s="250">
        <v>1524.23</v>
      </c>
    </row>
    <row r="56" spans="1:7" ht="15" thickBot="1">
      <c r="A56" s="209"/>
      <c r="B56" s="209"/>
      <c r="C56" s="209"/>
      <c r="D56" s="209" t="s">
        <v>486</v>
      </c>
      <c r="E56" s="209"/>
      <c r="F56" s="209"/>
      <c r="G56" s="251">
        <v>-635.08000000000004</v>
      </c>
    </row>
    <row r="57" spans="1:7">
      <c r="A57" s="209"/>
      <c r="B57" s="209"/>
      <c r="C57" s="209" t="s">
        <v>487</v>
      </c>
      <c r="D57" s="209"/>
      <c r="E57" s="209"/>
      <c r="F57" s="209"/>
      <c r="G57" s="250">
        <f>ROUND(SUM(G54:G56),5)</f>
        <v>889.15</v>
      </c>
    </row>
    <row r="58" spans="1:7">
      <c r="A58" s="209"/>
      <c r="B58" s="209"/>
      <c r="C58" s="209" t="s">
        <v>488</v>
      </c>
      <c r="D58" s="209"/>
      <c r="E58" s="209"/>
      <c r="F58" s="209"/>
      <c r="G58" s="250"/>
    </row>
    <row r="59" spans="1:7">
      <c r="A59" s="209"/>
      <c r="B59" s="209"/>
      <c r="C59" s="209"/>
      <c r="D59" s="209" t="s">
        <v>489</v>
      </c>
      <c r="E59" s="209"/>
      <c r="F59" s="209"/>
      <c r="G59" s="250">
        <v>6375.75</v>
      </c>
    </row>
    <row r="60" spans="1:7" ht="15" thickBot="1">
      <c r="A60" s="209"/>
      <c r="B60" s="209"/>
      <c r="C60" s="209"/>
      <c r="D60" s="209" t="s">
        <v>490</v>
      </c>
      <c r="E60" s="209"/>
      <c r="F60" s="209"/>
      <c r="G60" s="252">
        <v>1299</v>
      </c>
    </row>
    <row r="61" spans="1:7" ht="15" thickBot="1">
      <c r="A61" s="209"/>
      <c r="B61" s="209"/>
      <c r="C61" s="209" t="s">
        <v>491</v>
      </c>
      <c r="D61" s="209"/>
      <c r="E61" s="209"/>
      <c r="F61" s="209"/>
      <c r="G61" s="254">
        <f>ROUND(SUM(G58:G60),5)</f>
        <v>7674.75</v>
      </c>
    </row>
    <row r="62" spans="1:7">
      <c r="A62" s="209"/>
      <c r="B62" s="209" t="s">
        <v>492</v>
      </c>
      <c r="C62" s="209"/>
      <c r="D62" s="209"/>
      <c r="E62" s="209"/>
      <c r="F62" s="209"/>
      <c r="G62" s="250">
        <f>ROUND(G48+G53+G57+G61,5)</f>
        <v>17535.29</v>
      </c>
    </row>
    <row r="63" spans="1:7">
      <c r="A63" s="209"/>
      <c r="B63" s="209" t="s">
        <v>493</v>
      </c>
      <c r="C63" s="209"/>
      <c r="D63" s="209"/>
      <c r="E63" s="209"/>
      <c r="F63" s="209"/>
      <c r="G63" s="250"/>
    </row>
    <row r="64" spans="1:7">
      <c r="A64" s="209"/>
      <c r="B64" s="209"/>
      <c r="C64" s="209" t="s">
        <v>494</v>
      </c>
      <c r="D64" s="209"/>
      <c r="E64" s="209"/>
      <c r="F64" s="209"/>
      <c r="G64" s="250">
        <v>92.15</v>
      </c>
    </row>
    <row r="65" spans="1:7">
      <c r="A65" s="209"/>
      <c r="B65" s="209"/>
      <c r="C65" s="209" t="s">
        <v>495</v>
      </c>
      <c r="D65" s="209"/>
      <c r="E65" s="209"/>
      <c r="F65" s="209"/>
      <c r="G65" s="250">
        <v>1856</v>
      </c>
    </row>
    <row r="66" spans="1:7" ht="15" thickBot="1">
      <c r="A66" s="209"/>
      <c r="B66" s="209"/>
      <c r="C66" s="209" t="s">
        <v>496</v>
      </c>
      <c r="D66" s="209"/>
      <c r="E66" s="209"/>
      <c r="F66" s="209"/>
      <c r="G66" s="252">
        <v>2487.58</v>
      </c>
    </row>
    <row r="67" spans="1:7" ht="15" thickBot="1">
      <c r="A67" s="209"/>
      <c r="B67" s="209" t="s">
        <v>497</v>
      </c>
      <c r="C67" s="209"/>
      <c r="D67" s="209"/>
      <c r="E67" s="209"/>
      <c r="F67" s="209"/>
      <c r="G67" s="253">
        <f>ROUND(SUM(G63:G66),5)</f>
        <v>4435.7299999999996</v>
      </c>
    </row>
    <row r="68" spans="1:7" s="223" customFormat="1" ht="11" thickBot="1">
      <c r="A68" s="209" t="s">
        <v>498</v>
      </c>
      <c r="B68" s="209"/>
      <c r="C68" s="209"/>
      <c r="D68" s="209"/>
      <c r="E68" s="209"/>
      <c r="F68" s="209"/>
      <c r="G68" s="255">
        <f>ROUND(G2+G47+G62+G67,5)</f>
        <v>50384046.759999998</v>
      </c>
    </row>
    <row r="69" spans="1:7" ht="15" thickTop="1">
      <c r="A69" s="209" t="s">
        <v>499</v>
      </c>
      <c r="B69" s="209"/>
      <c r="C69" s="209"/>
      <c r="D69" s="209"/>
      <c r="E69" s="209"/>
      <c r="F69" s="209"/>
      <c r="G69" s="250"/>
    </row>
    <row r="70" spans="1:7">
      <c r="A70" s="209"/>
      <c r="B70" s="209" t="s">
        <v>500</v>
      </c>
      <c r="C70" s="209"/>
      <c r="D70" s="209"/>
      <c r="E70" s="209"/>
      <c r="F70" s="209"/>
      <c r="G70" s="250"/>
    </row>
    <row r="71" spans="1:7">
      <c r="A71" s="209"/>
      <c r="B71" s="209"/>
      <c r="C71" s="209" t="s">
        <v>501</v>
      </c>
      <c r="D71" s="209"/>
      <c r="E71" s="209"/>
      <c r="F71" s="209"/>
      <c r="G71" s="250"/>
    </row>
    <row r="72" spans="1:7">
      <c r="A72" s="209"/>
      <c r="B72" s="209"/>
      <c r="C72" s="209"/>
      <c r="D72" s="209" t="s">
        <v>502</v>
      </c>
      <c r="E72" s="209"/>
      <c r="F72" s="209"/>
      <c r="G72" s="250"/>
    </row>
    <row r="73" spans="1:7">
      <c r="A73" s="209"/>
      <c r="B73" s="209"/>
      <c r="C73" s="209"/>
      <c r="D73" s="209"/>
      <c r="E73" s="209" t="s">
        <v>503</v>
      </c>
      <c r="F73" s="209"/>
      <c r="G73" s="250">
        <v>4424783.01</v>
      </c>
    </row>
    <row r="74" spans="1:7">
      <c r="A74" s="209"/>
      <c r="B74" s="209"/>
      <c r="C74" s="209"/>
      <c r="D74" s="209"/>
      <c r="E74" s="209" t="s">
        <v>504</v>
      </c>
      <c r="F74" s="209"/>
      <c r="G74" s="250">
        <v>1399321.56</v>
      </c>
    </row>
    <row r="75" spans="1:7">
      <c r="A75" s="209"/>
      <c r="B75" s="209"/>
      <c r="C75" s="209"/>
      <c r="D75" s="209"/>
      <c r="E75" s="209" t="s">
        <v>505</v>
      </c>
      <c r="F75" s="209"/>
      <c r="G75" s="250">
        <v>28238.22</v>
      </c>
    </row>
    <row r="76" spans="1:7">
      <c r="A76" s="209"/>
      <c r="B76" s="209"/>
      <c r="C76" s="209"/>
      <c r="D76" s="209"/>
      <c r="E76" s="209" t="s">
        <v>506</v>
      </c>
      <c r="F76" s="209"/>
      <c r="G76" s="250">
        <v>5089.5200000000004</v>
      </c>
    </row>
    <row r="77" spans="1:7" ht="15" thickBot="1">
      <c r="A77" s="209"/>
      <c r="B77" s="209"/>
      <c r="C77" s="209"/>
      <c r="D77" s="209"/>
      <c r="E77" s="209" t="s">
        <v>507</v>
      </c>
      <c r="F77" s="209"/>
      <c r="G77" s="251">
        <v>32000</v>
      </c>
    </row>
    <row r="78" spans="1:7">
      <c r="A78" s="209"/>
      <c r="B78" s="209"/>
      <c r="C78" s="209"/>
      <c r="D78" s="209" t="s">
        <v>508</v>
      </c>
      <c r="E78" s="209"/>
      <c r="F78" s="209"/>
      <c r="G78" s="250">
        <f>ROUND(SUM(G72:G77),5)</f>
        <v>5889432.3099999996</v>
      </c>
    </row>
    <row r="79" spans="1:7">
      <c r="A79" s="209"/>
      <c r="B79" s="209"/>
      <c r="C79" s="209"/>
      <c r="D79" s="209" t="s">
        <v>509</v>
      </c>
      <c r="E79" s="209"/>
      <c r="F79" s="209"/>
      <c r="G79" s="250"/>
    </row>
    <row r="80" spans="1:7" ht="15" thickBot="1">
      <c r="A80" s="209"/>
      <c r="B80" s="209"/>
      <c r="C80" s="209"/>
      <c r="D80" s="209"/>
      <c r="E80" s="209" t="s">
        <v>510</v>
      </c>
      <c r="F80" s="209"/>
      <c r="G80" s="251">
        <v>1769.89</v>
      </c>
    </row>
    <row r="81" spans="1:11">
      <c r="A81" s="209"/>
      <c r="B81" s="209"/>
      <c r="C81" s="209"/>
      <c r="D81" s="209" t="s">
        <v>511</v>
      </c>
      <c r="E81" s="209"/>
      <c r="F81" s="209"/>
      <c r="G81" s="250">
        <f>ROUND(SUM(G79:G80),5)</f>
        <v>1769.89</v>
      </c>
    </row>
    <row r="82" spans="1:11">
      <c r="A82" s="209"/>
      <c r="B82" s="209"/>
      <c r="C82" s="209"/>
      <c r="D82" s="209" t="s">
        <v>512</v>
      </c>
      <c r="E82" s="209"/>
      <c r="F82" s="209"/>
      <c r="G82" s="250"/>
    </row>
    <row r="83" spans="1:11">
      <c r="A83" s="209"/>
      <c r="B83" s="209"/>
      <c r="C83" s="209"/>
      <c r="D83" s="209"/>
      <c r="E83" s="209" t="s">
        <v>513</v>
      </c>
      <c r="F83" s="209"/>
      <c r="G83" s="250">
        <v>5785.62</v>
      </c>
    </row>
    <row r="84" spans="1:11">
      <c r="A84" s="209"/>
      <c r="B84" s="209"/>
      <c r="C84" s="209"/>
      <c r="D84" s="209"/>
      <c r="E84" s="209" t="s">
        <v>514</v>
      </c>
      <c r="F84" s="209"/>
      <c r="G84" s="250">
        <v>763.58</v>
      </c>
    </row>
    <row r="85" spans="1:11">
      <c r="A85" s="209"/>
      <c r="B85" s="209"/>
      <c r="C85" s="209"/>
      <c r="D85" s="209"/>
      <c r="E85" s="209" t="s">
        <v>515</v>
      </c>
      <c r="F85" s="209"/>
      <c r="G85" s="250">
        <v>6245.5</v>
      </c>
    </row>
    <row r="86" spans="1:11" ht="15" thickBot="1">
      <c r="A86" s="209"/>
      <c r="B86" s="209"/>
      <c r="C86" s="209"/>
      <c r="D86" s="209"/>
      <c r="E86" s="209" t="s">
        <v>516</v>
      </c>
      <c r="F86" s="209"/>
      <c r="G86" s="252">
        <v>12500</v>
      </c>
    </row>
    <row r="87" spans="1:11" ht="15" thickBot="1">
      <c r="A87" s="209"/>
      <c r="B87" s="209"/>
      <c r="C87" s="209"/>
      <c r="D87" s="209" t="s">
        <v>517</v>
      </c>
      <c r="E87" s="209"/>
      <c r="F87" s="209"/>
      <c r="G87" s="253">
        <f>ROUND(SUM(G82:G86),5)</f>
        <v>25294.7</v>
      </c>
    </row>
    <row r="88" spans="1:11" ht="15" thickBot="1">
      <c r="A88" s="209"/>
      <c r="B88" s="209"/>
      <c r="C88" s="209" t="s">
        <v>518</v>
      </c>
      <c r="D88" s="209"/>
      <c r="E88" s="209"/>
      <c r="F88" s="209"/>
      <c r="G88" s="254">
        <f>ROUND(G71+G78+G81+G87,5)</f>
        <v>5916496.9000000004</v>
      </c>
    </row>
    <row r="89" spans="1:11">
      <c r="A89" s="209"/>
      <c r="B89" s="209" t="s">
        <v>519</v>
      </c>
      <c r="C89" s="209"/>
      <c r="D89" s="209"/>
      <c r="E89" s="209"/>
      <c r="F89" s="209"/>
      <c r="G89" s="250">
        <f>ROUND(G70+G88,5)</f>
        <v>5916496.9000000004</v>
      </c>
    </row>
    <row r="90" spans="1:11">
      <c r="A90" s="209"/>
      <c r="B90" s="209" t="s">
        <v>520</v>
      </c>
      <c r="C90" s="209"/>
      <c r="D90" s="209"/>
      <c r="E90" s="209"/>
      <c r="F90" s="209"/>
      <c r="G90" s="250"/>
    </row>
    <row r="91" spans="1:11">
      <c r="A91" s="209"/>
      <c r="B91" s="209"/>
      <c r="C91" s="209" t="s">
        <v>521</v>
      </c>
      <c r="D91" s="209"/>
      <c r="E91" s="209"/>
      <c r="F91" s="209"/>
      <c r="G91" s="250"/>
    </row>
    <row r="92" spans="1:11">
      <c r="A92" s="209"/>
      <c r="B92" s="209"/>
      <c r="C92" s="209"/>
      <c r="D92" s="209" t="s">
        <v>215</v>
      </c>
      <c r="E92" s="209"/>
      <c r="F92" s="209"/>
      <c r="G92" s="250"/>
      <c r="K92" s="210"/>
    </row>
    <row r="93" spans="1:11">
      <c r="A93" s="209"/>
      <c r="B93" s="209"/>
      <c r="C93" s="209"/>
      <c r="D93" s="209"/>
      <c r="E93" s="209" t="s">
        <v>348</v>
      </c>
      <c r="F93" s="209"/>
      <c r="G93" s="250">
        <v>-8017.32</v>
      </c>
      <c r="K93" s="210"/>
    </row>
    <row r="94" spans="1:11">
      <c r="A94" s="209"/>
      <c r="B94" s="209"/>
      <c r="C94" s="209"/>
      <c r="D94" s="209"/>
      <c r="E94" s="209" t="s">
        <v>349</v>
      </c>
      <c r="F94" s="209"/>
      <c r="G94" s="250">
        <v>-3566.6</v>
      </c>
      <c r="K94" s="210"/>
    </row>
    <row r="95" spans="1:11" ht="15" thickBot="1">
      <c r="A95" s="209"/>
      <c r="B95" s="209"/>
      <c r="C95" s="209"/>
      <c r="D95" s="209"/>
      <c r="E95" s="209" t="s">
        <v>350</v>
      </c>
      <c r="F95" s="209"/>
      <c r="G95" s="251">
        <v>2764.01</v>
      </c>
      <c r="K95" s="210"/>
    </row>
    <row r="96" spans="1:11">
      <c r="A96" s="209"/>
      <c r="B96" s="209"/>
      <c r="C96" s="209"/>
      <c r="D96" s="209" t="s">
        <v>522</v>
      </c>
      <c r="E96" s="209"/>
      <c r="F96" s="209"/>
      <c r="G96" s="250">
        <f>ROUND(SUM(G92:G95),5)</f>
        <v>-8819.91</v>
      </c>
      <c r="K96" s="210"/>
    </row>
    <row r="97" spans="1:12">
      <c r="A97" s="209"/>
      <c r="B97" s="209"/>
      <c r="C97" s="209"/>
      <c r="D97" s="209" t="s">
        <v>217</v>
      </c>
      <c r="E97" s="209"/>
      <c r="F97" s="209"/>
      <c r="G97" s="250"/>
      <c r="K97" s="210"/>
    </row>
    <row r="98" spans="1:12" ht="15" thickBot="1">
      <c r="A98" s="209"/>
      <c r="B98" s="209"/>
      <c r="C98" s="209"/>
      <c r="D98" s="209"/>
      <c r="E98" s="209" t="s">
        <v>12</v>
      </c>
      <c r="F98" s="209"/>
      <c r="G98" s="252">
        <v>-599.66</v>
      </c>
      <c r="K98" s="210"/>
    </row>
    <row r="99" spans="1:12" ht="15" thickBot="1">
      <c r="A99" s="209"/>
      <c r="B99" s="209"/>
      <c r="C99" s="209"/>
      <c r="D99" s="209" t="s">
        <v>523</v>
      </c>
      <c r="E99" s="209"/>
      <c r="F99" s="209"/>
      <c r="G99" s="254">
        <f>ROUND(SUM(G97:G98),5)</f>
        <v>-599.66</v>
      </c>
      <c r="K99" s="210"/>
    </row>
    <row r="100" spans="1:12">
      <c r="A100" s="209"/>
      <c r="B100" s="209"/>
      <c r="C100" s="209" t="s">
        <v>524</v>
      </c>
      <c r="D100" s="209"/>
      <c r="E100" s="209"/>
      <c r="F100" s="209"/>
      <c r="G100" s="250">
        <f>ROUND(G91+G96+G99,5)</f>
        <v>-9419.57</v>
      </c>
      <c r="K100" s="210"/>
    </row>
    <row r="101" spans="1:12">
      <c r="A101" s="209"/>
      <c r="B101" s="209"/>
      <c r="C101" s="209" t="s">
        <v>525</v>
      </c>
      <c r="D101" s="209"/>
      <c r="E101" s="209"/>
      <c r="F101" s="209"/>
      <c r="G101" s="250"/>
      <c r="K101" s="210"/>
    </row>
    <row r="102" spans="1:12">
      <c r="A102" s="209"/>
      <c r="B102" s="209"/>
      <c r="C102" s="209"/>
      <c r="D102" s="209" t="s">
        <v>526</v>
      </c>
      <c r="E102" s="209"/>
      <c r="F102" s="209"/>
      <c r="G102" s="250"/>
      <c r="K102" s="210"/>
    </row>
    <row r="103" spans="1:12">
      <c r="A103" s="209"/>
      <c r="B103" s="209"/>
      <c r="C103" s="209"/>
      <c r="D103" s="209"/>
      <c r="E103" s="209" t="s">
        <v>527</v>
      </c>
      <c r="F103" s="209"/>
      <c r="G103" s="250"/>
    </row>
    <row r="104" spans="1:12">
      <c r="A104" s="209"/>
      <c r="B104" s="209"/>
      <c r="C104" s="209"/>
      <c r="D104" s="209"/>
      <c r="E104" s="209"/>
      <c r="F104" s="209" t="s">
        <v>10</v>
      </c>
      <c r="G104" s="250">
        <v>8701.4699999999993</v>
      </c>
      <c r="K104" s="210"/>
      <c r="L104" s="210"/>
    </row>
    <row r="105" spans="1:12">
      <c r="A105" s="209"/>
      <c r="B105" s="209"/>
      <c r="C105" s="209"/>
      <c r="D105" s="209"/>
      <c r="E105" s="209"/>
      <c r="F105" s="209" t="s">
        <v>11</v>
      </c>
      <c r="G105" s="250">
        <v>23916.89</v>
      </c>
      <c r="K105" s="210"/>
      <c r="L105" s="210"/>
    </row>
    <row r="106" spans="1:12" ht="15" thickBot="1">
      <c r="A106" s="209"/>
      <c r="B106" s="209"/>
      <c r="C106" s="209"/>
      <c r="D106" s="209"/>
      <c r="E106" s="209"/>
      <c r="F106" s="209" t="s">
        <v>13</v>
      </c>
      <c r="G106" s="251">
        <v>10761345.17</v>
      </c>
      <c r="K106" s="210"/>
      <c r="L106" s="210"/>
    </row>
    <row r="107" spans="1:12">
      <c r="A107" s="209"/>
      <c r="B107" s="209"/>
      <c r="C107" s="209"/>
      <c r="D107" s="209"/>
      <c r="E107" s="209" t="s">
        <v>352</v>
      </c>
      <c r="F107" s="209"/>
      <c r="G107" s="250">
        <f>ROUND(SUM(G103:G106),5)</f>
        <v>10793963.529999999</v>
      </c>
      <c r="I107" s="240"/>
      <c r="K107" s="210"/>
      <c r="L107" s="210"/>
    </row>
    <row r="108" spans="1:12">
      <c r="A108" s="209"/>
      <c r="B108" s="209"/>
      <c r="C108" s="209"/>
      <c r="D108" s="209"/>
      <c r="E108" s="209" t="s">
        <v>528</v>
      </c>
      <c r="F108" s="209"/>
      <c r="G108" s="250"/>
      <c r="K108" s="210"/>
      <c r="L108" s="210"/>
    </row>
    <row r="109" spans="1:12" ht="15" thickBot="1">
      <c r="A109" s="209"/>
      <c r="B109" s="209"/>
      <c r="C109" s="209"/>
      <c r="D109" s="209"/>
      <c r="E109" s="209"/>
      <c r="F109" s="209" t="s">
        <v>353</v>
      </c>
      <c r="G109" s="251">
        <v>-5221.21</v>
      </c>
      <c r="K109" s="210"/>
      <c r="L109" s="210"/>
    </row>
    <row r="110" spans="1:12">
      <c r="A110" s="209"/>
      <c r="B110" s="209"/>
      <c r="C110" s="209"/>
      <c r="D110" s="209"/>
      <c r="E110" s="209" t="s">
        <v>354</v>
      </c>
      <c r="F110" s="209"/>
      <c r="G110" s="250">
        <f>ROUND(SUM(G108:G109),5)</f>
        <v>-5221.21</v>
      </c>
      <c r="K110" s="210"/>
      <c r="L110" s="210"/>
    </row>
    <row r="111" spans="1:12">
      <c r="A111" s="209"/>
      <c r="B111" s="209"/>
      <c r="C111" s="209"/>
      <c r="D111" s="209"/>
      <c r="E111" s="209" t="s">
        <v>529</v>
      </c>
      <c r="F111" s="209"/>
      <c r="G111" s="250"/>
      <c r="K111" s="210"/>
      <c r="L111" s="210"/>
    </row>
    <row r="112" spans="1:12">
      <c r="A112" s="209"/>
      <c r="B112" s="209"/>
      <c r="C112" s="209"/>
      <c r="D112" s="209"/>
      <c r="E112" s="209"/>
      <c r="F112" s="209" t="s">
        <v>530</v>
      </c>
      <c r="G112" s="250">
        <v>4500000</v>
      </c>
      <c r="K112" s="210"/>
      <c r="L112" s="210"/>
    </row>
    <row r="113" spans="1:12">
      <c r="A113" s="209"/>
      <c r="B113" s="209"/>
      <c r="C113" s="209"/>
      <c r="D113" s="209"/>
      <c r="E113" s="209"/>
      <c r="F113" s="209" t="s">
        <v>88</v>
      </c>
      <c r="G113" s="250">
        <v>379262.85</v>
      </c>
      <c r="K113" s="210"/>
      <c r="L113" s="210"/>
    </row>
    <row r="114" spans="1:12" ht="15" thickBot="1">
      <c r="A114" s="209"/>
      <c r="B114" s="209"/>
      <c r="C114" s="209"/>
      <c r="D114" s="209"/>
      <c r="E114" s="209"/>
      <c r="F114" s="209" t="s">
        <v>355</v>
      </c>
      <c r="G114" s="251">
        <f>187126.31+100000</f>
        <v>287126.31</v>
      </c>
      <c r="K114" s="210"/>
      <c r="L114" s="210"/>
    </row>
    <row r="115" spans="1:12">
      <c r="A115" s="209"/>
      <c r="B115" s="209"/>
      <c r="C115" s="209"/>
      <c r="D115" s="209"/>
      <c r="E115" s="209" t="s">
        <v>356</v>
      </c>
      <c r="F115" s="209"/>
      <c r="G115" s="250">
        <f>ROUND(SUM(G111:G114),5)</f>
        <v>5166389.16</v>
      </c>
      <c r="I115" s="240"/>
      <c r="K115" s="210"/>
      <c r="L115" s="210"/>
    </row>
    <row r="116" spans="1:12">
      <c r="A116" s="209"/>
      <c r="B116" s="209"/>
      <c r="C116" s="209"/>
      <c r="D116" s="209"/>
      <c r="E116" s="209" t="s">
        <v>357</v>
      </c>
      <c r="F116" s="209"/>
      <c r="G116" s="250">
        <v>1122845.1100000001</v>
      </c>
      <c r="K116" s="210"/>
      <c r="L116" s="210"/>
    </row>
    <row r="117" spans="1:12" ht="15" thickBot="1">
      <c r="A117" s="209"/>
      <c r="B117" s="209"/>
      <c r="C117" s="209"/>
      <c r="D117" s="209"/>
      <c r="E117" s="209" t="s">
        <v>531</v>
      </c>
      <c r="F117" s="209"/>
      <c r="G117" s="251">
        <v>2400000</v>
      </c>
    </row>
    <row r="118" spans="1:12">
      <c r="A118" s="209"/>
      <c r="B118" s="209"/>
      <c r="C118" s="209"/>
      <c r="D118" s="209" t="s">
        <v>532</v>
      </c>
      <c r="E118" s="209"/>
      <c r="F118" s="209"/>
      <c r="G118" s="250">
        <f>ROUND(G102+G107+G110+SUM(G115:G117),5)</f>
        <v>19477976.59</v>
      </c>
      <c r="H118" s="240"/>
    </row>
    <row r="119" spans="1:12" ht="15" thickBot="1">
      <c r="A119" s="209"/>
      <c r="B119" s="209"/>
      <c r="C119" s="209"/>
      <c r="D119" s="209" t="s">
        <v>533</v>
      </c>
      <c r="E119" s="209"/>
      <c r="F119" s="209"/>
      <c r="G119" s="251">
        <f>5256617.94+23578119.3-3834737.24</f>
        <v>25000000</v>
      </c>
    </row>
    <row r="120" spans="1:12" ht="15" thickBot="1">
      <c r="A120" s="209"/>
      <c r="B120" s="209"/>
      <c r="C120" s="209" t="s">
        <v>534</v>
      </c>
      <c r="D120" s="209"/>
      <c r="E120" s="209"/>
      <c r="F120" s="209"/>
      <c r="G120" s="250">
        <f>ROUND(G101+SUM(G118:G119),5)</f>
        <v>44477976.590000004</v>
      </c>
    </row>
    <row r="121" spans="1:12" ht="15" thickBot="1">
      <c r="A121" s="209"/>
      <c r="B121" s="209" t="s">
        <v>535</v>
      </c>
      <c r="C121" s="209"/>
      <c r="D121" s="209"/>
      <c r="E121" s="209"/>
      <c r="F121" s="209"/>
      <c r="G121" s="253">
        <f>ROUND(SUM(G90:G90)+G100+SUM(G120:G120),5)</f>
        <v>44468557.020000003</v>
      </c>
    </row>
    <row r="122" spans="1:12" s="223" customFormat="1" ht="11" thickBot="1">
      <c r="A122" s="209" t="s">
        <v>536</v>
      </c>
      <c r="B122" s="209"/>
      <c r="C122" s="209"/>
      <c r="D122" s="209"/>
      <c r="E122" s="209"/>
      <c r="F122" s="209"/>
      <c r="G122" s="255">
        <f>ROUND(G69+G89+G121,5)</f>
        <v>50385053.920000002</v>
      </c>
    </row>
    <row r="123" spans="1:12" ht="15" thickTop="1"/>
  </sheetData>
  <pageMargins left="0.7" right="0.7" top="0.75" bottom="0.75" header="0.1" footer="0.3"/>
  <pageSetup orientation="portrait"/>
  <headerFooter>
    <oddHeader>&amp;L&amp;"Arial,Bold"&amp;8 12:03 PM
&amp;"Arial,Bold"&amp;8 09/02/15
&amp;"Arial,Bold"&amp;8 Accrual Basis&amp;C&amp;"Arial,Bold"&amp;12 GiveDirectly, Inc.
&amp;"Arial,Bold"&amp;14 Balance Sheet
&amp;"Arial,Bold"&amp;10 As of June 30, 2015</oddHeader>
    <oddFooter>&amp;R&amp;"Arial,Bold"&amp;8 Page &amp;P of &amp;N</oddFooter>
  </headerFooter>
  <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50"/>
  <sheetViews>
    <sheetView workbookViewId="0">
      <pane xSplit="7" ySplit="1" topLeftCell="AC2" activePane="bottomRight" state="frozenSplit"/>
      <selection pane="topRight" activeCell="H1" sqref="H1"/>
      <selection pane="bottomLeft" activeCell="A2" sqref="A2"/>
      <selection pane="bottomRight" activeCell="G10" sqref="G10"/>
    </sheetView>
  </sheetViews>
  <sheetFormatPr baseColWidth="10" defaultColWidth="8.83203125" defaultRowHeight="14" x14ac:dyDescent="0"/>
  <cols>
    <col min="1" max="6" width="3" style="216" customWidth="1"/>
    <col min="7" max="7" width="25.5" style="216" customWidth="1"/>
    <col min="8" max="8" width="9" style="217" bestFit="1" customWidth="1"/>
    <col min="9" max="9" width="2.33203125" style="217" customWidth="1"/>
    <col min="10" max="10" width="9" style="217" bestFit="1" customWidth="1"/>
    <col min="11" max="11" width="2.33203125" style="217" customWidth="1"/>
    <col min="12" max="12" width="8.1640625" style="217" bestFit="1" customWidth="1"/>
    <col min="13" max="13" width="2.33203125" style="217" customWidth="1"/>
    <col min="14" max="14" width="9" style="217" bestFit="1" customWidth="1"/>
    <col min="15" max="15" width="2.33203125" style="217" customWidth="1"/>
    <col min="16" max="16" width="9" style="217" bestFit="1" customWidth="1"/>
    <col min="17" max="17" width="2.33203125" style="217" customWidth="1"/>
    <col min="18" max="18" width="9" style="217" bestFit="1" customWidth="1"/>
    <col min="19" max="19" width="2.33203125" style="217" customWidth="1"/>
    <col min="20" max="20" width="9" style="217" bestFit="1" customWidth="1"/>
    <col min="21" max="21" width="2.33203125" style="217" customWidth="1"/>
    <col min="22" max="22" width="9" style="217" bestFit="1" customWidth="1"/>
    <col min="23" max="23" width="2.33203125" style="217" customWidth="1"/>
    <col min="24" max="24" width="9" style="217" bestFit="1" customWidth="1"/>
    <col min="25" max="25" width="2.33203125" style="217" customWidth="1"/>
    <col min="26" max="26" width="9" style="217" bestFit="1" customWidth="1"/>
    <col min="27" max="27" width="2.33203125" style="217" customWidth="1"/>
    <col min="28" max="28" width="9" style="217" bestFit="1" customWidth="1"/>
    <col min="29" max="29" width="2.33203125" style="217" customWidth="1"/>
    <col min="30" max="30" width="9.83203125" style="217" bestFit="1" customWidth="1"/>
    <col min="31" max="31" width="2.33203125" style="217" customWidth="1"/>
    <col min="32" max="32" width="9" style="217" bestFit="1" customWidth="1"/>
    <col min="33" max="33" width="2.33203125" style="217" customWidth="1"/>
    <col min="34" max="34" width="9.83203125" style="217" bestFit="1" customWidth="1"/>
    <col min="35" max="35" width="2.33203125" style="217" customWidth="1"/>
    <col min="36" max="36" width="9" style="217" bestFit="1" customWidth="1"/>
    <col min="37" max="37" width="2.33203125" style="217" customWidth="1"/>
    <col min="38" max="38" width="9" style="217" bestFit="1" customWidth="1"/>
    <col min="39" max="39" width="2.33203125" style="217" customWidth="1"/>
    <col min="40" max="40" width="9" style="217" bestFit="1" customWidth="1"/>
    <col min="41" max="41" width="2.33203125" style="217" customWidth="1"/>
    <col min="42" max="42" width="9" style="217" bestFit="1" customWidth="1"/>
    <col min="43" max="43" width="2.33203125" style="217" customWidth="1"/>
    <col min="44" max="44" width="9" style="217" bestFit="1" customWidth="1"/>
    <col min="45" max="45" width="2.33203125" style="217" customWidth="1"/>
    <col min="46" max="46" width="9" style="217" bestFit="1" customWidth="1"/>
    <col min="47" max="47" width="2.33203125" style="217" customWidth="1"/>
    <col min="48" max="48" width="9" style="217" bestFit="1" customWidth="1"/>
    <col min="49" max="49" width="2.33203125" style="217" customWidth="1"/>
    <col min="50" max="50" width="9" style="217" bestFit="1" customWidth="1"/>
    <col min="51" max="51" width="2.33203125" style="217" customWidth="1"/>
    <col min="52" max="52" width="11.1640625" style="217" bestFit="1" customWidth="1"/>
    <col min="53" max="16384" width="8.83203125" style="212"/>
  </cols>
  <sheetData>
    <row r="1" spans="1:52" s="208" customFormat="1" ht="15" thickBot="1">
      <c r="A1" s="357" t="s">
        <v>664</v>
      </c>
      <c r="B1" s="205"/>
      <c r="C1" s="205"/>
      <c r="D1" s="205"/>
      <c r="E1" s="205"/>
      <c r="F1" s="205"/>
      <c r="G1" s="205"/>
      <c r="H1" s="206" t="s">
        <v>308</v>
      </c>
      <c r="I1" s="207"/>
      <c r="J1" s="206" t="s">
        <v>309</v>
      </c>
      <c r="K1" s="207"/>
      <c r="L1" s="206" t="s">
        <v>310</v>
      </c>
      <c r="M1" s="207"/>
      <c r="N1" s="206" t="s">
        <v>311</v>
      </c>
      <c r="O1" s="207"/>
      <c r="P1" s="206" t="s">
        <v>312</v>
      </c>
      <c r="Q1" s="207"/>
      <c r="R1" s="206" t="s">
        <v>313</v>
      </c>
      <c r="S1" s="207"/>
      <c r="T1" s="206" t="s">
        <v>314</v>
      </c>
      <c r="U1" s="207"/>
      <c r="V1" s="206" t="s">
        <v>315</v>
      </c>
      <c r="W1" s="207"/>
      <c r="X1" s="206" t="s">
        <v>316</v>
      </c>
      <c r="Y1" s="207"/>
      <c r="Z1" s="206" t="s">
        <v>317</v>
      </c>
      <c r="AA1" s="207"/>
      <c r="AB1" s="206" t="s">
        <v>318</v>
      </c>
      <c r="AC1" s="207"/>
      <c r="AD1" s="206" t="s">
        <v>319</v>
      </c>
      <c r="AE1" s="207"/>
      <c r="AF1" s="206" t="s">
        <v>320</v>
      </c>
      <c r="AG1" s="207"/>
      <c r="AH1" s="206" t="s">
        <v>321</v>
      </c>
      <c r="AI1" s="207"/>
      <c r="AJ1" s="206" t="s">
        <v>322</v>
      </c>
      <c r="AK1" s="207"/>
      <c r="AL1" s="206" t="s">
        <v>323</v>
      </c>
      <c r="AM1" s="207"/>
      <c r="AN1" s="206" t="s">
        <v>324</v>
      </c>
      <c r="AO1" s="207"/>
      <c r="AP1" s="206" t="s">
        <v>325</v>
      </c>
      <c r="AQ1" s="207"/>
      <c r="AR1" s="206" t="s">
        <v>326</v>
      </c>
      <c r="AS1" s="207"/>
      <c r="AT1" s="206" t="s">
        <v>327</v>
      </c>
      <c r="AU1" s="207"/>
      <c r="AV1" s="206" t="s">
        <v>328</v>
      </c>
      <c r="AW1" s="207"/>
      <c r="AX1" s="206" t="s">
        <v>329</v>
      </c>
      <c r="AY1" s="207"/>
      <c r="AZ1" s="206" t="s">
        <v>90</v>
      </c>
    </row>
    <row r="2" spans="1:52" ht="15" thickTop="1">
      <c r="A2" s="209"/>
      <c r="B2" s="209" t="s">
        <v>104</v>
      </c>
      <c r="C2" s="209"/>
      <c r="D2" s="209"/>
      <c r="E2" s="209"/>
      <c r="F2" s="209"/>
      <c r="G2" s="209"/>
      <c r="H2" s="210"/>
      <c r="I2" s="211"/>
      <c r="J2" s="210"/>
      <c r="K2" s="211"/>
      <c r="L2" s="210"/>
      <c r="M2" s="211"/>
      <c r="N2" s="210"/>
      <c r="O2" s="211"/>
      <c r="P2" s="210"/>
      <c r="Q2" s="211"/>
      <c r="R2" s="210"/>
      <c r="S2" s="211"/>
      <c r="T2" s="210"/>
      <c r="U2" s="211"/>
      <c r="V2" s="210"/>
      <c r="W2" s="211"/>
      <c r="X2" s="210"/>
      <c r="Y2" s="211"/>
      <c r="Z2" s="210"/>
      <c r="AA2" s="211"/>
      <c r="AB2" s="210"/>
      <c r="AC2" s="211"/>
      <c r="AD2" s="210"/>
      <c r="AE2" s="211"/>
      <c r="AF2" s="210"/>
      <c r="AG2" s="211"/>
      <c r="AH2" s="210"/>
      <c r="AI2" s="211"/>
      <c r="AJ2" s="210"/>
      <c r="AK2" s="211"/>
      <c r="AL2" s="210"/>
      <c r="AM2" s="211"/>
      <c r="AN2" s="210"/>
      <c r="AO2" s="211"/>
      <c r="AP2" s="210"/>
      <c r="AQ2" s="211"/>
      <c r="AR2" s="210"/>
      <c r="AS2" s="211"/>
      <c r="AT2" s="210"/>
      <c r="AU2" s="211"/>
      <c r="AV2" s="210"/>
      <c r="AW2" s="211"/>
      <c r="AX2" s="210"/>
      <c r="AY2" s="211"/>
      <c r="AZ2" s="210"/>
    </row>
    <row r="3" spans="1:52">
      <c r="A3" s="209"/>
      <c r="B3" s="209"/>
      <c r="C3" s="209"/>
      <c r="D3" s="209" t="s">
        <v>105</v>
      </c>
      <c r="E3" s="209"/>
      <c r="F3" s="209"/>
      <c r="G3" s="209"/>
      <c r="H3" s="210"/>
      <c r="I3" s="211"/>
      <c r="J3" s="210"/>
      <c r="K3" s="211"/>
      <c r="L3" s="210"/>
      <c r="M3" s="211"/>
      <c r="N3" s="210"/>
      <c r="O3" s="211"/>
      <c r="P3" s="210"/>
      <c r="Q3" s="211"/>
      <c r="R3" s="210"/>
      <c r="S3" s="211"/>
      <c r="T3" s="210"/>
      <c r="U3" s="211"/>
      <c r="V3" s="210"/>
      <c r="W3" s="211"/>
      <c r="X3" s="210"/>
      <c r="Y3" s="211"/>
      <c r="Z3" s="210"/>
      <c r="AA3" s="211"/>
      <c r="AB3" s="210"/>
      <c r="AC3" s="211"/>
      <c r="AD3" s="210"/>
      <c r="AE3" s="211"/>
      <c r="AF3" s="210"/>
      <c r="AG3" s="211"/>
      <c r="AH3" s="210"/>
      <c r="AI3" s="211"/>
      <c r="AJ3" s="210"/>
      <c r="AK3" s="211"/>
      <c r="AL3" s="210"/>
      <c r="AM3" s="211"/>
      <c r="AN3" s="210"/>
      <c r="AO3" s="211"/>
      <c r="AP3" s="210"/>
      <c r="AQ3" s="211"/>
      <c r="AR3" s="210"/>
      <c r="AS3" s="211"/>
      <c r="AT3" s="210"/>
      <c r="AU3" s="211"/>
      <c r="AV3" s="210"/>
      <c r="AW3" s="211"/>
      <c r="AX3" s="210"/>
      <c r="AY3" s="211"/>
      <c r="AZ3" s="210"/>
    </row>
    <row r="4" spans="1:52">
      <c r="A4" s="209"/>
      <c r="B4" s="209"/>
      <c r="C4" s="209"/>
      <c r="D4" s="209"/>
      <c r="E4" s="209" t="s">
        <v>330</v>
      </c>
      <c r="F4" s="209"/>
      <c r="G4" s="209"/>
      <c r="H4" s="210">
        <v>0</v>
      </c>
      <c r="I4" s="211"/>
      <c r="J4" s="210">
        <v>0</v>
      </c>
      <c r="K4" s="211"/>
      <c r="L4" s="210">
        <v>0</v>
      </c>
      <c r="M4" s="211"/>
      <c r="N4" s="210">
        <v>0</v>
      </c>
      <c r="O4" s="211"/>
      <c r="P4" s="210">
        <v>0</v>
      </c>
      <c r="Q4" s="211"/>
      <c r="R4" s="210">
        <v>0</v>
      </c>
      <c r="S4" s="211"/>
      <c r="T4" s="210">
        <v>0</v>
      </c>
      <c r="U4" s="211"/>
      <c r="V4" s="210">
        <v>0</v>
      </c>
      <c r="W4" s="211"/>
      <c r="X4" s="210">
        <v>0</v>
      </c>
      <c r="Y4" s="211"/>
      <c r="Z4" s="210">
        <v>0</v>
      </c>
      <c r="AA4" s="211"/>
      <c r="AB4" s="210">
        <v>0</v>
      </c>
      <c r="AC4" s="211"/>
      <c r="AD4" s="210">
        <v>0</v>
      </c>
      <c r="AE4" s="211"/>
      <c r="AF4" s="210">
        <v>0</v>
      </c>
      <c r="AG4" s="211"/>
      <c r="AH4" s="210">
        <v>0</v>
      </c>
      <c r="AI4" s="211"/>
      <c r="AJ4" s="210">
        <v>0</v>
      </c>
      <c r="AK4" s="211"/>
      <c r="AL4" s="210">
        <v>24.09</v>
      </c>
      <c r="AM4" s="211"/>
      <c r="AN4" s="210">
        <v>-24.1</v>
      </c>
      <c r="AO4" s="211"/>
      <c r="AP4" s="210">
        <v>0</v>
      </c>
      <c r="AQ4" s="211"/>
      <c r="AR4" s="210">
        <v>0</v>
      </c>
      <c r="AS4" s="211"/>
      <c r="AT4" s="210">
        <v>0</v>
      </c>
      <c r="AU4" s="211"/>
      <c r="AV4" s="210">
        <v>0</v>
      </c>
      <c r="AW4" s="211"/>
      <c r="AX4" s="210">
        <v>0</v>
      </c>
      <c r="AY4" s="211"/>
      <c r="AZ4" s="210">
        <f>ROUND(SUM(H4:AX4),5)</f>
        <v>-0.01</v>
      </c>
    </row>
    <row r="5" spans="1:52">
      <c r="A5" s="209"/>
      <c r="B5" s="209"/>
      <c r="C5" s="209"/>
      <c r="D5" s="209"/>
      <c r="E5" s="209" t="s">
        <v>78</v>
      </c>
      <c r="F5" s="209"/>
      <c r="G5" s="209"/>
      <c r="H5" s="210"/>
      <c r="I5" s="211"/>
      <c r="J5" s="210"/>
      <c r="K5" s="211"/>
      <c r="L5" s="210"/>
      <c r="M5" s="211"/>
      <c r="N5" s="210"/>
      <c r="O5" s="211"/>
      <c r="P5" s="210"/>
      <c r="Q5" s="211"/>
      <c r="R5" s="210"/>
      <c r="S5" s="211"/>
      <c r="T5" s="210"/>
      <c r="U5" s="211"/>
      <c r="V5" s="210"/>
      <c r="W5" s="211"/>
      <c r="X5" s="210"/>
      <c r="Y5" s="211"/>
      <c r="Z5" s="210"/>
      <c r="AA5" s="211"/>
      <c r="AB5" s="210"/>
      <c r="AC5" s="211"/>
      <c r="AD5" s="210"/>
      <c r="AE5" s="211"/>
      <c r="AF5" s="210"/>
      <c r="AG5" s="211"/>
      <c r="AH5" s="210"/>
      <c r="AI5" s="211"/>
      <c r="AJ5" s="210"/>
      <c r="AK5" s="211"/>
      <c r="AL5" s="210"/>
      <c r="AM5" s="211"/>
      <c r="AN5" s="210"/>
      <c r="AO5" s="211"/>
      <c r="AP5" s="210"/>
      <c r="AQ5" s="211"/>
      <c r="AR5" s="210"/>
      <c r="AS5" s="211"/>
      <c r="AT5" s="210"/>
      <c r="AU5" s="211"/>
      <c r="AV5" s="210"/>
      <c r="AW5" s="211"/>
      <c r="AX5" s="210"/>
      <c r="AY5" s="211"/>
      <c r="AZ5" s="210"/>
    </row>
    <row r="6" spans="1:52">
      <c r="A6" s="209"/>
      <c r="B6" s="209"/>
      <c r="C6" s="209"/>
      <c r="D6" s="209"/>
      <c r="E6" s="209"/>
      <c r="F6" s="209" t="s">
        <v>137</v>
      </c>
      <c r="G6" s="209"/>
      <c r="H6" s="210"/>
      <c r="I6" s="211"/>
      <c r="J6" s="210"/>
      <c r="K6" s="211"/>
      <c r="L6" s="210"/>
      <c r="M6" s="211"/>
      <c r="N6" s="210"/>
      <c r="O6" s="211"/>
      <c r="P6" s="210"/>
      <c r="Q6" s="211"/>
      <c r="R6" s="210"/>
      <c r="S6" s="211"/>
      <c r="T6" s="210"/>
      <c r="U6" s="211"/>
      <c r="V6" s="210"/>
      <c r="W6" s="211"/>
      <c r="X6" s="210"/>
      <c r="Y6" s="211"/>
      <c r="Z6" s="210"/>
      <c r="AA6" s="211"/>
      <c r="AB6" s="210"/>
      <c r="AC6" s="211"/>
      <c r="AD6" s="210"/>
      <c r="AE6" s="211"/>
      <c r="AF6" s="210"/>
      <c r="AG6" s="211"/>
      <c r="AH6" s="210"/>
      <c r="AI6" s="211"/>
      <c r="AJ6" s="210"/>
      <c r="AK6" s="211"/>
      <c r="AL6" s="210"/>
      <c r="AM6" s="211"/>
      <c r="AN6" s="210"/>
      <c r="AO6" s="211"/>
      <c r="AP6" s="210"/>
      <c r="AQ6" s="211"/>
      <c r="AR6" s="210"/>
      <c r="AS6" s="211"/>
      <c r="AT6" s="210"/>
      <c r="AU6" s="211"/>
      <c r="AV6" s="210"/>
      <c r="AW6" s="211"/>
      <c r="AX6" s="210"/>
      <c r="AY6" s="211"/>
      <c r="AZ6" s="210"/>
    </row>
    <row r="7" spans="1:52">
      <c r="A7" s="209"/>
      <c r="B7" s="209"/>
      <c r="C7" s="209"/>
      <c r="D7" s="209"/>
      <c r="E7" s="209"/>
      <c r="F7" s="209"/>
      <c r="G7" s="209" t="s">
        <v>138</v>
      </c>
      <c r="H7" s="210">
        <v>0</v>
      </c>
      <c r="I7" s="211"/>
      <c r="J7" s="210">
        <v>0</v>
      </c>
      <c r="K7" s="211"/>
      <c r="L7" s="210">
        <v>0</v>
      </c>
      <c r="M7" s="211"/>
      <c r="N7" s="210">
        <v>0</v>
      </c>
      <c r="O7" s="211"/>
      <c r="P7" s="210">
        <v>48.07</v>
      </c>
      <c r="Q7" s="211"/>
      <c r="R7" s="210">
        <v>0</v>
      </c>
      <c r="S7" s="211"/>
      <c r="T7" s="210">
        <v>0</v>
      </c>
      <c r="U7" s="211"/>
      <c r="V7" s="210">
        <v>0</v>
      </c>
      <c r="W7" s="211"/>
      <c r="X7" s="210">
        <v>0</v>
      </c>
      <c r="Y7" s="211"/>
      <c r="Z7" s="210">
        <v>0</v>
      </c>
      <c r="AA7" s="211"/>
      <c r="AB7" s="210">
        <v>1866.21</v>
      </c>
      <c r="AC7" s="211"/>
      <c r="AD7" s="210">
        <v>15522.6</v>
      </c>
      <c r="AE7" s="211"/>
      <c r="AF7" s="210">
        <v>1365.52</v>
      </c>
      <c r="AG7" s="211"/>
      <c r="AH7" s="210">
        <v>2838.58</v>
      </c>
      <c r="AI7" s="211"/>
      <c r="AJ7" s="210">
        <v>3488.78</v>
      </c>
      <c r="AK7" s="211"/>
      <c r="AL7" s="210">
        <v>9102</v>
      </c>
      <c r="AM7" s="211"/>
      <c r="AN7" s="210">
        <v>1368</v>
      </c>
      <c r="AO7" s="211"/>
      <c r="AP7" s="210">
        <v>1188</v>
      </c>
      <c r="AQ7" s="211"/>
      <c r="AR7" s="210">
        <v>10616</v>
      </c>
      <c r="AS7" s="211"/>
      <c r="AT7" s="210">
        <v>1550</v>
      </c>
      <c r="AU7" s="211"/>
      <c r="AV7" s="210">
        <v>1044</v>
      </c>
      <c r="AW7" s="211"/>
      <c r="AX7" s="210">
        <v>761.4</v>
      </c>
      <c r="AY7" s="211"/>
      <c r="AZ7" s="210">
        <f>ROUND(SUM(H7:AX7),5)</f>
        <v>50759.16</v>
      </c>
    </row>
    <row r="8" spans="1:52">
      <c r="A8" s="209"/>
      <c r="B8" s="209"/>
      <c r="C8" s="209"/>
      <c r="D8" s="209"/>
      <c r="E8" s="209"/>
      <c r="F8" s="209"/>
      <c r="G8" s="209" t="s">
        <v>141</v>
      </c>
      <c r="H8" s="210">
        <v>57.95</v>
      </c>
      <c r="I8" s="211"/>
      <c r="J8" s="210">
        <v>144.94999999999999</v>
      </c>
      <c r="K8" s="211"/>
      <c r="L8" s="210">
        <v>215</v>
      </c>
      <c r="M8" s="211"/>
      <c r="N8" s="210">
        <v>82</v>
      </c>
      <c r="O8" s="211"/>
      <c r="P8" s="210">
        <v>82</v>
      </c>
      <c r="Q8" s="211"/>
      <c r="R8" s="210">
        <v>124</v>
      </c>
      <c r="S8" s="211"/>
      <c r="T8" s="210">
        <v>725</v>
      </c>
      <c r="U8" s="211"/>
      <c r="V8" s="210">
        <v>60</v>
      </c>
      <c r="W8" s="211"/>
      <c r="X8" s="210">
        <v>160</v>
      </c>
      <c r="Y8" s="211"/>
      <c r="Z8" s="210">
        <v>147</v>
      </c>
      <c r="AA8" s="211"/>
      <c r="AB8" s="210">
        <v>120</v>
      </c>
      <c r="AC8" s="211"/>
      <c r="AD8" s="210">
        <v>102.1</v>
      </c>
      <c r="AE8" s="211"/>
      <c r="AF8" s="210">
        <v>16.5</v>
      </c>
      <c r="AG8" s="211"/>
      <c r="AH8" s="210">
        <v>16.5</v>
      </c>
      <c r="AI8" s="211"/>
      <c r="AJ8" s="210">
        <v>55.5</v>
      </c>
      <c r="AK8" s="211"/>
      <c r="AL8" s="210">
        <v>16.5</v>
      </c>
      <c r="AM8" s="211"/>
      <c r="AN8" s="210">
        <v>66.45</v>
      </c>
      <c r="AO8" s="211"/>
      <c r="AP8" s="210">
        <v>42.5</v>
      </c>
      <c r="AQ8" s="211"/>
      <c r="AR8" s="210">
        <v>51.97</v>
      </c>
      <c r="AS8" s="211"/>
      <c r="AT8" s="210">
        <v>67.5</v>
      </c>
      <c r="AU8" s="211"/>
      <c r="AV8" s="210">
        <v>92.5</v>
      </c>
      <c r="AW8" s="211"/>
      <c r="AX8" s="210">
        <v>284.01</v>
      </c>
      <c r="AY8" s="211"/>
      <c r="AZ8" s="210">
        <f>ROUND(SUM(H8:AX8),5)</f>
        <v>2729.93</v>
      </c>
    </row>
    <row r="9" spans="1:52">
      <c r="A9" s="209"/>
      <c r="B9" s="209"/>
      <c r="C9" s="209"/>
      <c r="D9" s="209"/>
      <c r="E9" s="209"/>
      <c r="F9" s="209"/>
      <c r="G9" s="209" t="s">
        <v>143</v>
      </c>
      <c r="H9" s="210">
        <v>0.1</v>
      </c>
      <c r="I9" s="211"/>
      <c r="J9" s="210">
        <v>0</v>
      </c>
      <c r="K9" s="211"/>
      <c r="L9" s="210">
        <v>0</v>
      </c>
      <c r="M9" s="211"/>
      <c r="N9" s="210">
        <v>0</v>
      </c>
      <c r="O9" s="211"/>
      <c r="P9" s="210">
        <v>0.14000000000000001</v>
      </c>
      <c r="Q9" s="211"/>
      <c r="R9" s="210">
        <v>0.16</v>
      </c>
      <c r="S9" s="211"/>
      <c r="T9" s="210">
        <v>0</v>
      </c>
      <c r="U9" s="211"/>
      <c r="V9" s="210">
        <v>0</v>
      </c>
      <c r="W9" s="211"/>
      <c r="X9" s="210">
        <v>0</v>
      </c>
      <c r="Y9" s="211"/>
      <c r="Z9" s="210">
        <v>0</v>
      </c>
      <c r="AA9" s="211"/>
      <c r="AB9" s="210">
        <v>0</v>
      </c>
      <c r="AC9" s="211"/>
      <c r="AD9" s="210">
        <v>0</v>
      </c>
      <c r="AE9" s="211"/>
      <c r="AF9" s="210">
        <v>0</v>
      </c>
      <c r="AG9" s="211"/>
      <c r="AH9" s="210">
        <v>0</v>
      </c>
      <c r="AI9" s="211"/>
      <c r="AJ9" s="210">
        <v>0.37</v>
      </c>
      <c r="AK9" s="211"/>
      <c r="AL9" s="210">
        <v>0</v>
      </c>
      <c r="AM9" s="211"/>
      <c r="AN9" s="210">
        <v>0</v>
      </c>
      <c r="AO9" s="211"/>
      <c r="AP9" s="210">
        <v>0</v>
      </c>
      <c r="AQ9" s="211"/>
      <c r="AR9" s="210">
        <v>2.98</v>
      </c>
      <c r="AS9" s="211"/>
      <c r="AT9" s="210">
        <v>0</v>
      </c>
      <c r="AU9" s="211"/>
      <c r="AV9" s="210">
        <v>0</v>
      </c>
      <c r="AW9" s="211"/>
      <c r="AX9" s="210">
        <v>0</v>
      </c>
      <c r="AY9" s="211"/>
      <c r="AZ9" s="210">
        <f>ROUND(SUM(H9:AX9),5)</f>
        <v>3.75</v>
      </c>
    </row>
    <row r="10" spans="1:52" ht="15" thickBot="1">
      <c r="A10" s="209"/>
      <c r="B10" s="209"/>
      <c r="C10" s="209"/>
      <c r="D10" s="209"/>
      <c r="E10" s="209"/>
      <c r="F10" s="209"/>
      <c r="G10" s="209" t="s">
        <v>144</v>
      </c>
      <c r="H10" s="213">
        <v>64</v>
      </c>
      <c r="I10" s="211"/>
      <c r="J10" s="213">
        <v>0</v>
      </c>
      <c r="K10" s="211"/>
      <c r="L10" s="213">
        <v>66.08</v>
      </c>
      <c r="M10" s="211"/>
      <c r="N10" s="213">
        <v>66.08</v>
      </c>
      <c r="O10" s="211"/>
      <c r="P10" s="213">
        <v>35.42</v>
      </c>
      <c r="Q10" s="211"/>
      <c r="R10" s="213">
        <v>12.9</v>
      </c>
      <c r="S10" s="211"/>
      <c r="T10" s="213">
        <v>13.63</v>
      </c>
      <c r="U10" s="211"/>
      <c r="V10" s="213">
        <v>40.15</v>
      </c>
      <c r="W10" s="211"/>
      <c r="X10" s="213">
        <v>71.11</v>
      </c>
      <c r="Y10" s="211"/>
      <c r="Z10" s="213">
        <v>101.57</v>
      </c>
      <c r="AA10" s="211"/>
      <c r="AB10" s="213">
        <v>50.38</v>
      </c>
      <c r="AC10" s="211"/>
      <c r="AD10" s="213">
        <v>69.540000000000006</v>
      </c>
      <c r="AE10" s="211"/>
      <c r="AF10" s="213">
        <v>59.3</v>
      </c>
      <c r="AG10" s="211"/>
      <c r="AH10" s="213">
        <v>59.43</v>
      </c>
      <c r="AI10" s="211"/>
      <c r="AJ10" s="213">
        <v>44.02</v>
      </c>
      <c r="AK10" s="211"/>
      <c r="AL10" s="213">
        <v>65.239999999999995</v>
      </c>
      <c r="AM10" s="211"/>
      <c r="AN10" s="213">
        <v>111.67</v>
      </c>
      <c r="AO10" s="211"/>
      <c r="AP10" s="213">
        <v>54.5</v>
      </c>
      <c r="AQ10" s="211"/>
      <c r="AR10" s="213">
        <v>89.18</v>
      </c>
      <c r="AS10" s="211"/>
      <c r="AT10" s="213">
        <v>54.75</v>
      </c>
      <c r="AU10" s="211"/>
      <c r="AV10" s="213">
        <v>136.03</v>
      </c>
      <c r="AW10" s="211"/>
      <c r="AX10" s="213">
        <v>26.75</v>
      </c>
      <c r="AY10" s="211"/>
      <c r="AZ10" s="213">
        <f>ROUND(SUM(H10:AX10),5)</f>
        <v>1291.73</v>
      </c>
    </row>
    <row r="11" spans="1:52">
      <c r="A11" s="209"/>
      <c r="B11" s="209"/>
      <c r="C11" s="209"/>
      <c r="D11" s="209"/>
      <c r="E11" s="209"/>
      <c r="F11" s="209" t="s">
        <v>146</v>
      </c>
      <c r="G11" s="209"/>
      <c r="H11" s="210">
        <f>ROUND(SUM(H6:H10),5)</f>
        <v>122.05</v>
      </c>
      <c r="I11" s="211"/>
      <c r="J11" s="210">
        <f>ROUND(SUM(J6:J10),5)</f>
        <v>144.94999999999999</v>
      </c>
      <c r="K11" s="211"/>
      <c r="L11" s="210">
        <f>ROUND(SUM(L6:L10),5)</f>
        <v>281.08</v>
      </c>
      <c r="M11" s="211"/>
      <c r="N11" s="210">
        <f>ROUND(SUM(N6:N10),5)</f>
        <v>148.08000000000001</v>
      </c>
      <c r="O11" s="211"/>
      <c r="P11" s="210">
        <f>ROUND(SUM(P6:P10),5)</f>
        <v>165.63</v>
      </c>
      <c r="Q11" s="211"/>
      <c r="R11" s="210">
        <f>ROUND(SUM(R6:R10),5)</f>
        <v>137.06</v>
      </c>
      <c r="S11" s="211"/>
      <c r="T11" s="210">
        <f>ROUND(SUM(T6:T10),5)</f>
        <v>738.63</v>
      </c>
      <c r="U11" s="211"/>
      <c r="V11" s="210">
        <f>ROUND(SUM(V6:V10),5)</f>
        <v>100.15</v>
      </c>
      <c r="W11" s="211"/>
      <c r="X11" s="210">
        <f>ROUND(SUM(X6:X10),5)</f>
        <v>231.11</v>
      </c>
      <c r="Y11" s="211"/>
      <c r="Z11" s="210">
        <f>ROUND(SUM(Z6:Z10),5)</f>
        <v>248.57</v>
      </c>
      <c r="AA11" s="211"/>
      <c r="AB11" s="210">
        <f>ROUND(SUM(AB6:AB10),5)</f>
        <v>2036.59</v>
      </c>
      <c r="AC11" s="211"/>
      <c r="AD11" s="210">
        <f>ROUND(SUM(AD6:AD10),5)</f>
        <v>15694.24</v>
      </c>
      <c r="AE11" s="211"/>
      <c r="AF11" s="210">
        <f>ROUND(SUM(AF6:AF10),5)</f>
        <v>1441.32</v>
      </c>
      <c r="AG11" s="211"/>
      <c r="AH11" s="210">
        <f>ROUND(SUM(AH6:AH10),5)</f>
        <v>2914.51</v>
      </c>
      <c r="AI11" s="211"/>
      <c r="AJ11" s="210">
        <f>ROUND(SUM(AJ6:AJ10),5)</f>
        <v>3588.67</v>
      </c>
      <c r="AK11" s="211"/>
      <c r="AL11" s="210">
        <f>ROUND(SUM(AL6:AL10),5)</f>
        <v>9183.74</v>
      </c>
      <c r="AM11" s="211"/>
      <c r="AN11" s="210">
        <f>ROUND(SUM(AN6:AN10),5)</f>
        <v>1546.12</v>
      </c>
      <c r="AO11" s="211"/>
      <c r="AP11" s="210">
        <f>ROUND(SUM(AP6:AP10),5)</f>
        <v>1285</v>
      </c>
      <c r="AQ11" s="211"/>
      <c r="AR11" s="210">
        <f>ROUND(SUM(AR6:AR10),5)</f>
        <v>10760.13</v>
      </c>
      <c r="AS11" s="211"/>
      <c r="AT11" s="210">
        <f>ROUND(SUM(AT6:AT10),5)</f>
        <v>1672.25</v>
      </c>
      <c r="AU11" s="211"/>
      <c r="AV11" s="210">
        <f>ROUND(SUM(AV6:AV10),5)</f>
        <v>1272.53</v>
      </c>
      <c r="AW11" s="211"/>
      <c r="AX11" s="210">
        <f>ROUND(SUM(AX6:AX10),5)</f>
        <v>1072.1600000000001</v>
      </c>
      <c r="AY11" s="211"/>
      <c r="AZ11" s="210">
        <f>ROUND(SUM(H11:AX11),5)</f>
        <v>54784.57</v>
      </c>
    </row>
    <row r="12" spans="1:52">
      <c r="A12" s="209"/>
      <c r="B12" s="209"/>
      <c r="C12" s="209"/>
      <c r="D12" s="209"/>
      <c r="E12" s="209"/>
      <c r="F12" s="209" t="s">
        <v>147</v>
      </c>
      <c r="G12" s="209"/>
      <c r="H12" s="210"/>
      <c r="I12" s="211"/>
      <c r="J12" s="210"/>
      <c r="K12" s="211"/>
      <c r="L12" s="210"/>
      <c r="M12" s="211"/>
      <c r="N12" s="210"/>
      <c r="O12" s="211"/>
      <c r="P12" s="210"/>
      <c r="Q12" s="211"/>
      <c r="R12" s="210"/>
      <c r="S12" s="211"/>
      <c r="T12" s="210"/>
      <c r="U12" s="211"/>
      <c r="V12" s="210"/>
      <c r="W12" s="211"/>
      <c r="X12" s="210"/>
      <c r="Y12" s="211"/>
      <c r="Z12" s="210"/>
      <c r="AA12" s="211"/>
      <c r="AB12" s="210"/>
      <c r="AC12" s="211"/>
      <c r="AD12" s="210"/>
      <c r="AE12" s="211"/>
      <c r="AF12" s="210"/>
      <c r="AG12" s="211"/>
      <c r="AH12" s="210"/>
      <c r="AI12" s="211"/>
      <c r="AJ12" s="210"/>
      <c r="AK12" s="211"/>
      <c r="AL12" s="210"/>
      <c r="AM12" s="211"/>
      <c r="AN12" s="210"/>
      <c r="AO12" s="211"/>
      <c r="AP12" s="210"/>
      <c r="AQ12" s="211"/>
      <c r="AR12" s="210"/>
      <c r="AS12" s="211"/>
      <c r="AT12" s="210"/>
      <c r="AU12" s="211"/>
      <c r="AV12" s="210"/>
      <c r="AW12" s="211"/>
      <c r="AX12" s="210"/>
      <c r="AY12" s="211"/>
      <c r="AZ12" s="210"/>
    </row>
    <row r="13" spans="1:52">
      <c r="A13" s="209"/>
      <c r="B13" s="209"/>
      <c r="C13" s="209"/>
      <c r="D13" s="209"/>
      <c r="E13" s="209"/>
      <c r="F13" s="209"/>
      <c r="G13" s="209" t="s">
        <v>148</v>
      </c>
      <c r="H13" s="210">
        <v>0</v>
      </c>
      <c r="I13" s="211"/>
      <c r="J13" s="210">
        <v>0</v>
      </c>
      <c r="K13" s="211"/>
      <c r="L13" s="210">
        <v>0</v>
      </c>
      <c r="M13" s="211"/>
      <c r="N13" s="210">
        <v>0</v>
      </c>
      <c r="O13" s="211"/>
      <c r="P13" s="210">
        <v>0</v>
      </c>
      <c r="Q13" s="211"/>
      <c r="R13" s="210">
        <v>0</v>
      </c>
      <c r="S13" s="211"/>
      <c r="T13" s="210">
        <v>0</v>
      </c>
      <c r="U13" s="211"/>
      <c r="V13" s="210">
        <v>0</v>
      </c>
      <c r="W13" s="211"/>
      <c r="X13" s="210">
        <v>0</v>
      </c>
      <c r="Y13" s="211"/>
      <c r="Z13" s="210">
        <v>0</v>
      </c>
      <c r="AA13" s="211"/>
      <c r="AB13" s="210">
        <v>0</v>
      </c>
      <c r="AC13" s="211"/>
      <c r="AD13" s="210">
        <v>0</v>
      </c>
      <c r="AE13" s="211"/>
      <c r="AF13" s="210">
        <v>0</v>
      </c>
      <c r="AG13" s="211"/>
      <c r="AH13" s="210">
        <v>0</v>
      </c>
      <c r="AI13" s="211"/>
      <c r="AJ13" s="210">
        <v>0</v>
      </c>
      <c r="AK13" s="211"/>
      <c r="AL13" s="210">
        <v>-2250</v>
      </c>
      <c r="AM13" s="211"/>
      <c r="AN13" s="210">
        <v>0</v>
      </c>
      <c r="AO13" s="211"/>
      <c r="AP13" s="210">
        <v>106.37</v>
      </c>
      <c r="AQ13" s="211"/>
      <c r="AR13" s="210">
        <v>0</v>
      </c>
      <c r="AS13" s="211"/>
      <c r="AT13" s="210">
        <v>0</v>
      </c>
      <c r="AU13" s="211"/>
      <c r="AV13" s="210">
        <v>0</v>
      </c>
      <c r="AW13" s="211"/>
      <c r="AX13" s="210">
        <v>0</v>
      </c>
      <c r="AY13" s="211"/>
      <c r="AZ13" s="210">
        <f t="shared" ref="AZ13:AZ19" si="0">ROUND(SUM(H13:AX13),5)</f>
        <v>-2143.63</v>
      </c>
    </row>
    <row r="14" spans="1:52">
      <c r="A14" s="209"/>
      <c r="B14" s="209"/>
      <c r="C14" s="209"/>
      <c r="D14" s="209"/>
      <c r="E14" s="209"/>
      <c r="F14" s="209"/>
      <c r="G14" s="209" t="s">
        <v>150</v>
      </c>
      <c r="H14" s="210">
        <v>80</v>
      </c>
      <c r="I14" s="211"/>
      <c r="J14" s="210">
        <v>49.34</v>
      </c>
      <c r="K14" s="211"/>
      <c r="L14" s="210">
        <v>80</v>
      </c>
      <c r="M14" s="211"/>
      <c r="N14" s="210">
        <v>245.23</v>
      </c>
      <c r="O14" s="211"/>
      <c r="P14" s="210">
        <v>171.12</v>
      </c>
      <c r="Q14" s="211"/>
      <c r="R14" s="210">
        <v>315.89</v>
      </c>
      <c r="S14" s="211"/>
      <c r="T14" s="210">
        <v>229.11</v>
      </c>
      <c r="U14" s="211"/>
      <c r="V14" s="210">
        <v>244.66</v>
      </c>
      <c r="W14" s="211"/>
      <c r="X14" s="210">
        <v>201.66</v>
      </c>
      <c r="Y14" s="211"/>
      <c r="Z14" s="210">
        <v>73.98</v>
      </c>
      <c r="AA14" s="211"/>
      <c r="AB14" s="210">
        <v>0</v>
      </c>
      <c r="AC14" s="211"/>
      <c r="AD14" s="210">
        <v>139.58000000000001</v>
      </c>
      <c r="AE14" s="211"/>
      <c r="AF14" s="210">
        <v>0</v>
      </c>
      <c r="AG14" s="211"/>
      <c r="AH14" s="210">
        <v>57.04</v>
      </c>
      <c r="AI14" s="211"/>
      <c r="AJ14" s="210">
        <v>0</v>
      </c>
      <c r="AK14" s="211"/>
      <c r="AL14" s="210">
        <v>0</v>
      </c>
      <c r="AM14" s="211"/>
      <c r="AN14" s="210">
        <v>0</v>
      </c>
      <c r="AO14" s="211"/>
      <c r="AP14" s="210">
        <v>0</v>
      </c>
      <c r="AQ14" s="211"/>
      <c r="AR14" s="210">
        <v>0</v>
      </c>
      <c r="AS14" s="211"/>
      <c r="AT14" s="210">
        <v>0</v>
      </c>
      <c r="AU14" s="211"/>
      <c r="AV14" s="210">
        <v>0</v>
      </c>
      <c r="AW14" s="211"/>
      <c r="AX14" s="210">
        <v>3.36</v>
      </c>
      <c r="AY14" s="211"/>
      <c r="AZ14" s="210">
        <f t="shared" si="0"/>
        <v>1890.97</v>
      </c>
    </row>
    <row r="15" spans="1:52">
      <c r="A15" s="209"/>
      <c r="B15" s="209"/>
      <c r="C15" s="209"/>
      <c r="D15" s="209"/>
      <c r="E15" s="209"/>
      <c r="F15" s="209"/>
      <c r="G15" s="209" t="s">
        <v>152</v>
      </c>
      <c r="H15" s="210">
        <v>7.45</v>
      </c>
      <c r="I15" s="211"/>
      <c r="J15" s="210">
        <v>0</v>
      </c>
      <c r="K15" s="211"/>
      <c r="L15" s="210">
        <v>48.4</v>
      </c>
      <c r="M15" s="211"/>
      <c r="N15" s="210">
        <v>53.5</v>
      </c>
      <c r="O15" s="211"/>
      <c r="P15" s="210">
        <v>646.1</v>
      </c>
      <c r="Q15" s="211"/>
      <c r="R15" s="210">
        <v>19.47</v>
      </c>
      <c r="S15" s="211"/>
      <c r="T15" s="210">
        <v>0</v>
      </c>
      <c r="U15" s="211"/>
      <c r="V15" s="210">
        <v>17.84</v>
      </c>
      <c r="W15" s="211"/>
      <c r="X15" s="210">
        <v>8.17</v>
      </c>
      <c r="Y15" s="211"/>
      <c r="Z15" s="210">
        <v>0</v>
      </c>
      <c r="AA15" s="211"/>
      <c r="AB15" s="210">
        <v>96</v>
      </c>
      <c r="AC15" s="211"/>
      <c r="AD15" s="210">
        <v>0</v>
      </c>
      <c r="AE15" s="211"/>
      <c r="AF15" s="210">
        <v>4.55</v>
      </c>
      <c r="AG15" s="211"/>
      <c r="AH15" s="210">
        <v>0</v>
      </c>
      <c r="AI15" s="211"/>
      <c r="AJ15" s="210">
        <v>0</v>
      </c>
      <c r="AK15" s="211"/>
      <c r="AL15" s="210">
        <v>4.28</v>
      </c>
      <c r="AM15" s="211"/>
      <c r="AN15" s="210">
        <v>0</v>
      </c>
      <c r="AO15" s="211"/>
      <c r="AP15" s="210">
        <v>288.45</v>
      </c>
      <c r="AQ15" s="211"/>
      <c r="AR15" s="210">
        <v>117.17</v>
      </c>
      <c r="AS15" s="211"/>
      <c r="AT15" s="210">
        <v>1582</v>
      </c>
      <c r="AU15" s="211"/>
      <c r="AV15" s="210">
        <v>34</v>
      </c>
      <c r="AW15" s="211"/>
      <c r="AX15" s="210">
        <v>2.1800000000000002</v>
      </c>
      <c r="AY15" s="211"/>
      <c r="AZ15" s="210">
        <f t="shared" si="0"/>
        <v>2929.56</v>
      </c>
    </row>
    <row r="16" spans="1:52">
      <c r="A16" s="209"/>
      <c r="B16" s="209"/>
      <c r="C16" s="209"/>
      <c r="D16" s="209"/>
      <c r="E16" s="209"/>
      <c r="F16" s="209"/>
      <c r="G16" s="209" t="s">
        <v>154</v>
      </c>
      <c r="H16" s="210">
        <v>0</v>
      </c>
      <c r="I16" s="211"/>
      <c r="J16" s="210">
        <v>690.59</v>
      </c>
      <c r="K16" s="211"/>
      <c r="L16" s="210">
        <v>0</v>
      </c>
      <c r="M16" s="211"/>
      <c r="N16" s="210">
        <v>110.64</v>
      </c>
      <c r="O16" s="211"/>
      <c r="P16" s="210">
        <v>540</v>
      </c>
      <c r="Q16" s="211"/>
      <c r="R16" s="210">
        <v>0</v>
      </c>
      <c r="S16" s="211"/>
      <c r="T16" s="210">
        <v>169.01</v>
      </c>
      <c r="U16" s="211"/>
      <c r="V16" s="210">
        <v>0</v>
      </c>
      <c r="W16" s="211"/>
      <c r="X16" s="210">
        <v>21.05</v>
      </c>
      <c r="Y16" s="211"/>
      <c r="Z16" s="210">
        <v>0</v>
      </c>
      <c r="AA16" s="211"/>
      <c r="AB16" s="210">
        <v>0</v>
      </c>
      <c r="AC16" s="211"/>
      <c r="AD16" s="210">
        <v>60</v>
      </c>
      <c r="AE16" s="211"/>
      <c r="AF16" s="210">
        <v>40</v>
      </c>
      <c r="AG16" s="211"/>
      <c r="AH16" s="210">
        <v>0</v>
      </c>
      <c r="AI16" s="211"/>
      <c r="AJ16" s="210">
        <v>0</v>
      </c>
      <c r="AK16" s="211"/>
      <c r="AL16" s="210">
        <v>2100</v>
      </c>
      <c r="AM16" s="211"/>
      <c r="AN16" s="210">
        <v>192</v>
      </c>
      <c r="AO16" s="211"/>
      <c r="AP16" s="210">
        <v>0</v>
      </c>
      <c r="AQ16" s="211"/>
      <c r="AR16" s="210">
        <v>400</v>
      </c>
      <c r="AS16" s="211"/>
      <c r="AT16" s="210">
        <v>0</v>
      </c>
      <c r="AU16" s="211"/>
      <c r="AV16" s="210">
        <v>256</v>
      </c>
      <c r="AW16" s="211"/>
      <c r="AX16" s="210">
        <v>0</v>
      </c>
      <c r="AY16" s="211"/>
      <c r="AZ16" s="210">
        <f t="shared" si="0"/>
        <v>4579.29</v>
      </c>
    </row>
    <row r="17" spans="1:52">
      <c r="A17" s="209"/>
      <c r="B17" s="209"/>
      <c r="C17" s="209"/>
      <c r="D17" s="209"/>
      <c r="E17" s="209"/>
      <c r="F17" s="209"/>
      <c r="G17" s="209" t="s">
        <v>156</v>
      </c>
      <c r="H17" s="210">
        <v>1502.07</v>
      </c>
      <c r="I17" s="211"/>
      <c r="J17" s="210">
        <v>1500</v>
      </c>
      <c r="K17" s="211"/>
      <c r="L17" s="210">
        <v>0</v>
      </c>
      <c r="M17" s="211"/>
      <c r="N17" s="210">
        <v>1625</v>
      </c>
      <c r="O17" s="211"/>
      <c r="P17" s="210">
        <v>3000</v>
      </c>
      <c r="Q17" s="211"/>
      <c r="R17" s="210">
        <v>1500</v>
      </c>
      <c r="S17" s="211"/>
      <c r="T17" s="210">
        <v>1500</v>
      </c>
      <c r="U17" s="211"/>
      <c r="V17" s="210">
        <v>2000</v>
      </c>
      <c r="W17" s="211"/>
      <c r="X17" s="210">
        <v>8680.4699999999993</v>
      </c>
      <c r="Y17" s="211"/>
      <c r="Z17" s="210">
        <v>6725</v>
      </c>
      <c r="AA17" s="211"/>
      <c r="AB17" s="210">
        <v>-3500</v>
      </c>
      <c r="AC17" s="211"/>
      <c r="AD17" s="210">
        <v>11784</v>
      </c>
      <c r="AE17" s="211"/>
      <c r="AF17" s="210">
        <v>2475</v>
      </c>
      <c r="AG17" s="211"/>
      <c r="AH17" s="210">
        <v>2700</v>
      </c>
      <c r="AI17" s="211"/>
      <c r="AJ17" s="210">
        <v>2600</v>
      </c>
      <c r="AK17" s="211"/>
      <c r="AL17" s="210">
        <v>-200</v>
      </c>
      <c r="AM17" s="211"/>
      <c r="AN17" s="210">
        <v>1968.6</v>
      </c>
      <c r="AO17" s="211"/>
      <c r="AP17" s="210">
        <v>2878.6</v>
      </c>
      <c r="AQ17" s="211"/>
      <c r="AR17" s="210">
        <v>1900</v>
      </c>
      <c r="AS17" s="211"/>
      <c r="AT17" s="210">
        <v>2387.2800000000002</v>
      </c>
      <c r="AU17" s="211"/>
      <c r="AV17" s="210">
        <v>7009.58</v>
      </c>
      <c r="AW17" s="211"/>
      <c r="AX17" s="210">
        <v>2800</v>
      </c>
      <c r="AY17" s="211"/>
      <c r="AZ17" s="210">
        <f t="shared" si="0"/>
        <v>62835.6</v>
      </c>
    </row>
    <row r="18" spans="1:52" ht="15" thickBot="1">
      <c r="A18" s="209"/>
      <c r="B18" s="209"/>
      <c r="C18" s="209"/>
      <c r="D18" s="209"/>
      <c r="E18" s="209"/>
      <c r="F18" s="209"/>
      <c r="G18" s="209" t="s">
        <v>159</v>
      </c>
      <c r="H18" s="213">
        <v>4.2300000000000004</v>
      </c>
      <c r="I18" s="211"/>
      <c r="J18" s="213">
        <v>454.45</v>
      </c>
      <c r="K18" s="211"/>
      <c r="L18" s="213">
        <v>0</v>
      </c>
      <c r="M18" s="211"/>
      <c r="N18" s="213">
        <v>50</v>
      </c>
      <c r="O18" s="211"/>
      <c r="P18" s="213">
        <v>14.71</v>
      </c>
      <c r="Q18" s="211"/>
      <c r="R18" s="213">
        <v>25</v>
      </c>
      <c r="S18" s="211"/>
      <c r="T18" s="213">
        <v>69.849999999999994</v>
      </c>
      <c r="U18" s="211"/>
      <c r="V18" s="213">
        <v>0</v>
      </c>
      <c r="W18" s="211"/>
      <c r="X18" s="213">
        <v>40.869999999999997</v>
      </c>
      <c r="Y18" s="211"/>
      <c r="Z18" s="213">
        <v>25.48</v>
      </c>
      <c r="AA18" s="211"/>
      <c r="AB18" s="213">
        <v>0</v>
      </c>
      <c r="AC18" s="211"/>
      <c r="AD18" s="213">
        <v>25.41</v>
      </c>
      <c r="AE18" s="211"/>
      <c r="AF18" s="213">
        <v>86.3</v>
      </c>
      <c r="AG18" s="211"/>
      <c r="AH18" s="213">
        <v>0</v>
      </c>
      <c r="AI18" s="211"/>
      <c r="AJ18" s="213">
        <v>40.880000000000003</v>
      </c>
      <c r="AK18" s="211"/>
      <c r="AL18" s="213">
        <v>12.72</v>
      </c>
      <c r="AM18" s="211"/>
      <c r="AN18" s="213">
        <v>86.62</v>
      </c>
      <c r="AO18" s="211"/>
      <c r="AP18" s="213">
        <v>19.98</v>
      </c>
      <c r="AQ18" s="211"/>
      <c r="AR18" s="213">
        <v>19.98</v>
      </c>
      <c r="AS18" s="211"/>
      <c r="AT18" s="213">
        <v>0</v>
      </c>
      <c r="AU18" s="211"/>
      <c r="AV18" s="213">
        <v>0</v>
      </c>
      <c r="AW18" s="211"/>
      <c r="AX18" s="213">
        <v>56.16</v>
      </c>
      <c r="AY18" s="211"/>
      <c r="AZ18" s="213">
        <f t="shared" si="0"/>
        <v>1032.6400000000001</v>
      </c>
    </row>
    <row r="19" spans="1:52">
      <c r="A19" s="209"/>
      <c r="B19" s="209"/>
      <c r="C19" s="209"/>
      <c r="D19" s="209"/>
      <c r="E19" s="209"/>
      <c r="F19" s="209" t="s">
        <v>161</v>
      </c>
      <c r="G19" s="209"/>
      <c r="H19" s="210">
        <f>ROUND(SUM(H12:H18),5)</f>
        <v>1593.75</v>
      </c>
      <c r="I19" s="211"/>
      <c r="J19" s="210">
        <f>ROUND(SUM(J12:J18),5)</f>
        <v>2694.38</v>
      </c>
      <c r="K19" s="211"/>
      <c r="L19" s="210">
        <f>ROUND(SUM(L12:L18),5)</f>
        <v>128.4</v>
      </c>
      <c r="M19" s="211"/>
      <c r="N19" s="210">
        <f>ROUND(SUM(N12:N18),5)</f>
        <v>2084.37</v>
      </c>
      <c r="O19" s="211"/>
      <c r="P19" s="210">
        <f>ROUND(SUM(P12:P18),5)</f>
        <v>4371.93</v>
      </c>
      <c r="Q19" s="211"/>
      <c r="R19" s="210">
        <f>ROUND(SUM(R12:R18),5)</f>
        <v>1860.36</v>
      </c>
      <c r="S19" s="211"/>
      <c r="T19" s="210">
        <f>ROUND(SUM(T12:T18),5)</f>
        <v>1967.97</v>
      </c>
      <c r="U19" s="211"/>
      <c r="V19" s="210">
        <f>ROUND(SUM(V12:V18),5)</f>
        <v>2262.5</v>
      </c>
      <c r="W19" s="211"/>
      <c r="X19" s="210">
        <f>ROUND(SUM(X12:X18),5)</f>
        <v>8952.2199999999993</v>
      </c>
      <c r="Y19" s="211"/>
      <c r="Z19" s="210">
        <f>ROUND(SUM(Z12:Z18),5)</f>
        <v>6824.46</v>
      </c>
      <c r="AA19" s="211"/>
      <c r="AB19" s="210">
        <f>ROUND(SUM(AB12:AB18),5)</f>
        <v>-3404</v>
      </c>
      <c r="AC19" s="211"/>
      <c r="AD19" s="210">
        <f>ROUND(SUM(AD12:AD18),5)</f>
        <v>12008.99</v>
      </c>
      <c r="AE19" s="211"/>
      <c r="AF19" s="210">
        <f>ROUND(SUM(AF12:AF18),5)</f>
        <v>2605.85</v>
      </c>
      <c r="AG19" s="211"/>
      <c r="AH19" s="210">
        <f>ROUND(SUM(AH12:AH18),5)</f>
        <v>2757.04</v>
      </c>
      <c r="AI19" s="211"/>
      <c r="AJ19" s="210">
        <f>ROUND(SUM(AJ12:AJ18),5)</f>
        <v>2640.88</v>
      </c>
      <c r="AK19" s="211"/>
      <c r="AL19" s="210">
        <f>ROUND(SUM(AL12:AL18),5)</f>
        <v>-333</v>
      </c>
      <c r="AM19" s="211"/>
      <c r="AN19" s="210">
        <f>ROUND(SUM(AN12:AN18),5)</f>
        <v>2247.2199999999998</v>
      </c>
      <c r="AO19" s="211"/>
      <c r="AP19" s="210">
        <f>ROUND(SUM(AP12:AP18),5)</f>
        <v>3293.4</v>
      </c>
      <c r="AQ19" s="211"/>
      <c r="AR19" s="210">
        <f>ROUND(SUM(AR12:AR18),5)</f>
        <v>2437.15</v>
      </c>
      <c r="AS19" s="211"/>
      <c r="AT19" s="210">
        <f>ROUND(SUM(AT12:AT18),5)</f>
        <v>3969.28</v>
      </c>
      <c r="AU19" s="211"/>
      <c r="AV19" s="210">
        <f>ROUND(SUM(AV12:AV18),5)</f>
        <v>7299.58</v>
      </c>
      <c r="AW19" s="211"/>
      <c r="AX19" s="210">
        <f>ROUND(SUM(AX12:AX18),5)</f>
        <v>2861.7</v>
      </c>
      <c r="AY19" s="211"/>
      <c r="AZ19" s="210">
        <f t="shared" si="0"/>
        <v>71124.429999999993</v>
      </c>
    </row>
    <row r="20" spans="1:52">
      <c r="A20" s="209"/>
      <c r="B20" s="209"/>
      <c r="C20" s="209"/>
      <c r="D20" s="209"/>
      <c r="E20" s="209"/>
      <c r="F20" s="209" t="s">
        <v>162</v>
      </c>
      <c r="G20" s="209"/>
      <c r="H20" s="210"/>
      <c r="I20" s="211"/>
      <c r="J20" s="210"/>
      <c r="K20" s="211"/>
      <c r="L20" s="210"/>
      <c r="M20" s="211"/>
      <c r="N20" s="210"/>
      <c r="O20" s="211"/>
      <c r="P20" s="210"/>
      <c r="Q20" s="211"/>
      <c r="R20" s="210"/>
      <c r="S20" s="211"/>
      <c r="T20" s="210"/>
      <c r="U20" s="211"/>
      <c r="V20" s="210"/>
      <c r="W20" s="211"/>
      <c r="X20" s="210"/>
      <c r="Y20" s="211"/>
      <c r="Z20" s="210"/>
      <c r="AA20" s="211"/>
      <c r="AB20" s="210"/>
      <c r="AC20" s="211"/>
      <c r="AD20" s="210"/>
      <c r="AE20" s="211"/>
      <c r="AF20" s="210"/>
      <c r="AG20" s="211"/>
      <c r="AH20" s="210"/>
      <c r="AI20" s="211"/>
      <c r="AJ20" s="210"/>
      <c r="AK20" s="211"/>
      <c r="AL20" s="210"/>
      <c r="AM20" s="211"/>
      <c r="AN20" s="210"/>
      <c r="AO20" s="211"/>
      <c r="AP20" s="210"/>
      <c r="AQ20" s="211"/>
      <c r="AR20" s="210"/>
      <c r="AS20" s="211"/>
      <c r="AT20" s="210"/>
      <c r="AU20" s="211"/>
      <c r="AV20" s="210"/>
      <c r="AW20" s="211"/>
      <c r="AX20" s="210"/>
      <c r="AY20" s="211"/>
      <c r="AZ20" s="210"/>
    </row>
    <row r="21" spans="1:52">
      <c r="A21" s="209"/>
      <c r="B21" s="209"/>
      <c r="C21" s="209"/>
      <c r="D21" s="209"/>
      <c r="E21" s="209"/>
      <c r="F21" s="209"/>
      <c r="G21" s="209" t="s">
        <v>163</v>
      </c>
      <c r="H21" s="210">
        <v>0</v>
      </c>
      <c r="I21" s="211"/>
      <c r="J21" s="210">
        <v>0</v>
      </c>
      <c r="K21" s="211"/>
      <c r="L21" s="210">
        <v>0</v>
      </c>
      <c r="M21" s="211"/>
      <c r="N21" s="210">
        <v>0</v>
      </c>
      <c r="O21" s="211"/>
      <c r="P21" s="210">
        <v>0</v>
      </c>
      <c r="Q21" s="211"/>
      <c r="R21" s="210">
        <v>1329.65</v>
      </c>
      <c r="S21" s="211"/>
      <c r="T21" s="210">
        <v>762.12</v>
      </c>
      <c r="U21" s="211"/>
      <c r="V21" s="210">
        <v>0</v>
      </c>
      <c r="W21" s="211"/>
      <c r="X21" s="210">
        <v>0</v>
      </c>
      <c r="Y21" s="211"/>
      <c r="Z21" s="210">
        <v>0</v>
      </c>
      <c r="AA21" s="211"/>
      <c r="AB21" s="210">
        <v>51</v>
      </c>
      <c r="AC21" s="211"/>
      <c r="AD21" s="210">
        <v>0</v>
      </c>
      <c r="AE21" s="211"/>
      <c r="AF21" s="210">
        <v>0</v>
      </c>
      <c r="AG21" s="211"/>
      <c r="AH21" s="210">
        <v>0</v>
      </c>
      <c r="AI21" s="211"/>
      <c r="AJ21" s="210">
        <v>0</v>
      </c>
      <c r="AK21" s="211"/>
      <c r="AL21" s="210">
        <v>0</v>
      </c>
      <c r="AM21" s="211"/>
      <c r="AN21" s="210">
        <v>0</v>
      </c>
      <c r="AO21" s="211"/>
      <c r="AP21" s="210">
        <v>0</v>
      </c>
      <c r="AQ21" s="211"/>
      <c r="AR21" s="210">
        <v>0</v>
      </c>
      <c r="AS21" s="211"/>
      <c r="AT21" s="210">
        <v>10.81</v>
      </c>
      <c r="AU21" s="211"/>
      <c r="AV21" s="210">
        <v>975.6</v>
      </c>
      <c r="AW21" s="211"/>
      <c r="AX21" s="210">
        <v>0</v>
      </c>
      <c r="AY21" s="211"/>
      <c r="AZ21" s="210">
        <f>ROUND(SUM(H21:AX21),5)</f>
        <v>3129.18</v>
      </c>
    </row>
    <row r="22" spans="1:52">
      <c r="A22" s="209"/>
      <c r="B22" s="209"/>
      <c r="C22" s="209"/>
      <c r="D22" s="209"/>
      <c r="E22" s="209"/>
      <c r="F22" s="209"/>
      <c r="G22" s="209" t="s">
        <v>167</v>
      </c>
      <c r="H22" s="210">
        <v>0</v>
      </c>
      <c r="I22" s="211"/>
      <c r="J22" s="210">
        <v>0</v>
      </c>
      <c r="K22" s="211"/>
      <c r="L22" s="210">
        <v>0</v>
      </c>
      <c r="M22" s="211"/>
      <c r="N22" s="210">
        <v>0</v>
      </c>
      <c r="O22" s="211"/>
      <c r="P22" s="210">
        <v>480.44</v>
      </c>
      <c r="Q22" s="211"/>
      <c r="R22" s="210">
        <v>8</v>
      </c>
      <c r="S22" s="211"/>
      <c r="T22" s="210">
        <v>0</v>
      </c>
      <c r="U22" s="211"/>
      <c r="V22" s="210">
        <v>3350</v>
      </c>
      <c r="W22" s="211"/>
      <c r="X22" s="210">
        <v>10526.76</v>
      </c>
      <c r="Y22" s="211"/>
      <c r="Z22" s="210">
        <v>4935.0200000000004</v>
      </c>
      <c r="AA22" s="211"/>
      <c r="AB22" s="210">
        <v>2088.23</v>
      </c>
      <c r="AC22" s="211"/>
      <c r="AD22" s="210">
        <v>1951.35</v>
      </c>
      <c r="AE22" s="211"/>
      <c r="AF22" s="210">
        <v>49</v>
      </c>
      <c r="AG22" s="211"/>
      <c r="AH22" s="210">
        <v>147.5</v>
      </c>
      <c r="AI22" s="211"/>
      <c r="AJ22" s="210">
        <v>170</v>
      </c>
      <c r="AK22" s="211"/>
      <c r="AL22" s="210">
        <v>1951.45</v>
      </c>
      <c r="AM22" s="211"/>
      <c r="AN22" s="210">
        <v>152.15</v>
      </c>
      <c r="AO22" s="211"/>
      <c r="AP22" s="210">
        <v>107.66</v>
      </c>
      <c r="AQ22" s="211"/>
      <c r="AR22" s="210">
        <v>931.44</v>
      </c>
      <c r="AS22" s="211"/>
      <c r="AT22" s="210">
        <v>45.38</v>
      </c>
      <c r="AU22" s="211"/>
      <c r="AV22" s="210">
        <v>363.36</v>
      </c>
      <c r="AW22" s="211"/>
      <c r="AX22" s="210">
        <v>44.03</v>
      </c>
      <c r="AY22" s="211"/>
      <c r="AZ22" s="210">
        <f>ROUND(SUM(H22:AX22),5)</f>
        <v>27301.77</v>
      </c>
    </row>
    <row r="23" spans="1:52" ht="15" thickBot="1">
      <c r="A23" s="209"/>
      <c r="B23" s="209"/>
      <c r="C23" s="209"/>
      <c r="D23" s="209"/>
      <c r="E23" s="209"/>
      <c r="F23" s="209"/>
      <c r="G23" s="209" t="s">
        <v>169</v>
      </c>
      <c r="H23" s="213">
        <v>300.08999999999997</v>
      </c>
      <c r="I23" s="211"/>
      <c r="J23" s="213">
        <v>85.61</v>
      </c>
      <c r="K23" s="211"/>
      <c r="L23" s="213">
        <v>105.24</v>
      </c>
      <c r="M23" s="211"/>
      <c r="N23" s="213">
        <v>143.84</v>
      </c>
      <c r="O23" s="211"/>
      <c r="P23" s="213">
        <v>30</v>
      </c>
      <c r="Q23" s="211"/>
      <c r="R23" s="213">
        <v>283.31</v>
      </c>
      <c r="S23" s="211"/>
      <c r="T23" s="213">
        <v>143.24</v>
      </c>
      <c r="U23" s="211"/>
      <c r="V23" s="213">
        <v>319.26</v>
      </c>
      <c r="W23" s="211"/>
      <c r="X23" s="213">
        <v>116.69</v>
      </c>
      <c r="Y23" s="211"/>
      <c r="Z23" s="213">
        <v>115.46</v>
      </c>
      <c r="AA23" s="211"/>
      <c r="AB23" s="213">
        <v>150.26</v>
      </c>
      <c r="AC23" s="211"/>
      <c r="AD23" s="213">
        <v>143.79</v>
      </c>
      <c r="AE23" s="211"/>
      <c r="AF23" s="213">
        <v>37401.93</v>
      </c>
      <c r="AG23" s="211"/>
      <c r="AH23" s="213">
        <v>37765.269999999997</v>
      </c>
      <c r="AI23" s="211"/>
      <c r="AJ23" s="213">
        <v>56.56</v>
      </c>
      <c r="AK23" s="211"/>
      <c r="AL23" s="213">
        <v>25</v>
      </c>
      <c r="AM23" s="211"/>
      <c r="AN23" s="213">
        <v>882.48</v>
      </c>
      <c r="AO23" s="211"/>
      <c r="AP23" s="213">
        <v>16766.650000000001</v>
      </c>
      <c r="AQ23" s="211"/>
      <c r="AR23" s="213">
        <v>223.92</v>
      </c>
      <c r="AS23" s="211"/>
      <c r="AT23" s="213">
        <v>26933.13</v>
      </c>
      <c r="AU23" s="211"/>
      <c r="AV23" s="213">
        <v>255.8</v>
      </c>
      <c r="AW23" s="211"/>
      <c r="AX23" s="213">
        <v>279.05</v>
      </c>
      <c r="AY23" s="211"/>
      <c r="AZ23" s="213">
        <f>ROUND(SUM(H23:AX23),5)</f>
        <v>122526.58</v>
      </c>
    </row>
    <row r="24" spans="1:52">
      <c r="A24" s="209"/>
      <c r="B24" s="209"/>
      <c r="C24" s="209"/>
      <c r="D24" s="209"/>
      <c r="E24" s="209"/>
      <c r="F24" s="209" t="s">
        <v>171</v>
      </c>
      <c r="G24" s="209"/>
      <c r="H24" s="210">
        <f>ROUND(SUM(H20:H23),5)</f>
        <v>300.08999999999997</v>
      </c>
      <c r="I24" s="211"/>
      <c r="J24" s="210">
        <f>ROUND(SUM(J20:J23),5)</f>
        <v>85.61</v>
      </c>
      <c r="K24" s="211"/>
      <c r="L24" s="210">
        <f>ROUND(SUM(L20:L23),5)</f>
        <v>105.24</v>
      </c>
      <c r="M24" s="211"/>
      <c r="N24" s="210">
        <f>ROUND(SUM(N20:N23),5)</f>
        <v>143.84</v>
      </c>
      <c r="O24" s="211"/>
      <c r="P24" s="210">
        <f>ROUND(SUM(P20:P23),5)</f>
        <v>510.44</v>
      </c>
      <c r="Q24" s="211"/>
      <c r="R24" s="210">
        <f>ROUND(SUM(R20:R23),5)</f>
        <v>1620.96</v>
      </c>
      <c r="S24" s="211"/>
      <c r="T24" s="210">
        <f>ROUND(SUM(T20:T23),5)</f>
        <v>905.36</v>
      </c>
      <c r="U24" s="211"/>
      <c r="V24" s="210">
        <f>ROUND(SUM(V20:V23),5)</f>
        <v>3669.26</v>
      </c>
      <c r="W24" s="211"/>
      <c r="X24" s="210">
        <f>ROUND(SUM(X20:X23),5)</f>
        <v>10643.45</v>
      </c>
      <c r="Y24" s="211"/>
      <c r="Z24" s="210">
        <f>ROUND(SUM(Z20:Z23),5)</f>
        <v>5050.4799999999996</v>
      </c>
      <c r="AA24" s="211"/>
      <c r="AB24" s="210">
        <f>ROUND(SUM(AB20:AB23),5)</f>
        <v>2289.4899999999998</v>
      </c>
      <c r="AC24" s="211"/>
      <c r="AD24" s="210">
        <f>ROUND(SUM(AD20:AD23),5)</f>
        <v>2095.14</v>
      </c>
      <c r="AE24" s="211"/>
      <c r="AF24" s="210">
        <f>ROUND(SUM(AF20:AF23),5)</f>
        <v>37450.93</v>
      </c>
      <c r="AG24" s="211"/>
      <c r="AH24" s="210">
        <f>ROUND(SUM(AH20:AH23),5)</f>
        <v>37912.769999999997</v>
      </c>
      <c r="AI24" s="211"/>
      <c r="AJ24" s="210">
        <f>ROUND(SUM(AJ20:AJ23),5)</f>
        <v>226.56</v>
      </c>
      <c r="AK24" s="211"/>
      <c r="AL24" s="210">
        <f>ROUND(SUM(AL20:AL23),5)</f>
        <v>1976.45</v>
      </c>
      <c r="AM24" s="211"/>
      <c r="AN24" s="210">
        <f>ROUND(SUM(AN20:AN23),5)</f>
        <v>1034.6300000000001</v>
      </c>
      <c r="AO24" s="211"/>
      <c r="AP24" s="210">
        <f>ROUND(SUM(AP20:AP23),5)</f>
        <v>16874.310000000001</v>
      </c>
      <c r="AQ24" s="211"/>
      <c r="AR24" s="210">
        <f>ROUND(SUM(AR20:AR23),5)</f>
        <v>1155.3599999999999</v>
      </c>
      <c r="AS24" s="211"/>
      <c r="AT24" s="210">
        <f>ROUND(SUM(AT20:AT23),5)</f>
        <v>26989.32</v>
      </c>
      <c r="AU24" s="211"/>
      <c r="AV24" s="210">
        <f>ROUND(SUM(AV20:AV23),5)</f>
        <v>1594.76</v>
      </c>
      <c r="AW24" s="211"/>
      <c r="AX24" s="210">
        <f>ROUND(SUM(AX20:AX23),5)</f>
        <v>323.08</v>
      </c>
      <c r="AY24" s="211"/>
      <c r="AZ24" s="210">
        <f>ROUND(SUM(H24:AX24),5)</f>
        <v>152957.53</v>
      </c>
    </row>
    <row r="25" spans="1:52">
      <c r="A25" s="209"/>
      <c r="B25" s="209"/>
      <c r="C25" s="209"/>
      <c r="D25" s="209"/>
      <c r="E25" s="209"/>
      <c r="F25" s="209" t="s">
        <v>172</v>
      </c>
      <c r="G25" s="209"/>
      <c r="H25" s="210"/>
      <c r="I25" s="211"/>
      <c r="J25" s="210"/>
      <c r="K25" s="211"/>
      <c r="L25" s="210"/>
      <c r="M25" s="211"/>
      <c r="N25" s="210"/>
      <c r="O25" s="211"/>
      <c r="P25" s="210"/>
      <c r="Q25" s="211"/>
      <c r="R25" s="210"/>
      <c r="S25" s="211"/>
      <c r="T25" s="210"/>
      <c r="U25" s="211"/>
      <c r="V25" s="210"/>
      <c r="W25" s="211"/>
      <c r="X25" s="210"/>
      <c r="Y25" s="211"/>
      <c r="Z25" s="210"/>
      <c r="AA25" s="211"/>
      <c r="AB25" s="210"/>
      <c r="AC25" s="211"/>
      <c r="AD25" s="210"/>
      <c r="AE25" s="211"/>
      <c r="AF25" s="210"/>
      <c r="AG25" s="211"/>
      <c r="AH25" s="210"/>
      <c r="AI25" s="211"/>
      <c r="AJ25" s="210"/>
      <c r="AK25" s="211"/>
      <c r="AL25" s="210"/>
      <c r="AM25" s="211"/>
      <c r="AN25" s="210"/>
      <c r="AO25" s="211"/>
      <c r="AP25" s="210"/>
      <c r="AQ25" s="211"/>
      <c r="AR25" s="210"/>
      <c r="AS25" s="211"/>
      <c r="AT25" s="210"/>
      <c r="AU25" s="211"/>
      <c r="AV25" s="210"/>
      <c r="AW25" s="211"/>
      <c r="AX25" s="210"/>
      <c r="AY25" s="211"/>
      <c r="AZ25" s="210"/>
    </row>
    <row r="26" spans="1:52">
      <c r="A26" s="209"/>
      <c r="B26" s="209"/>
      <c r="C26" s="209"/>
      <c r="D26" s="209"/>
      <c r="E26" s="209"/>
      <c r="F26" s="209"/>
      <c r="G26" s="209" t="s">
        <v>173</v>
      </c>
      <c r="H26" s="210">
        <v>0</v>
      </c>
      <c r="I26" s="211"/>
      <c r="J26" s="210">
        <v>0</v>
      </c>
      <c r="K26" s="211"/>
      <c r="L26" s="210">
        <v>0</v>
      </c>
      <c r="M26" s="211"/>
      <c r="N26" s="210">
        <v>0</v>
      </c>
      <c r="O26" s="211"/>
      <c r="P26" s="210">
        <v>0</v>
      </c>
      <c r="Q26" s="211"/>
      <c r="R26" s="210">
        <v>0</v>
      </c>
      <c r="S26" s="211"/>
      <c r="T26" s="210">
        <v>0</v>
      </c>
      <c r="U26" s="211"/>
      <c r="V26" s="210">
        <v>0</v>
      </c>
      <c r="W26" s="211"/>
      <c r="X26" s="210">
        <v>0</v>
      </c>
      <c r="Y26" s="211"/>
      <c r="Z26" s="210">
        <v>0</v>
      </c>
      <c r="AA26" s="211"/>
      <c r="AB26" s="210">
        <v>0</v>
      </c>
      <c r="AC26" s="211"/>
      <c r="AD26" s="210">
        <v>507.17</v>
      </c>
      <c r="AE26" s="211"/>
      <c r="AF26" s="210">
        <v>0</v>
      </c>
      <c r="AG26" s="211"/>
      <c r="AH26" s="210">
        <v>0</v>
      </c>
      <c r="AI26" s="211"/>
      <c r="AJ26" s="210">
        <v>0</v>
      </c>
      <c r="AK26" s="211"/>
      <c r="AL26" s="210">
        <v>1002.39</v>
      </c>
      <c r="AM26" s="211"/>
      <c r="AN26" s="210">
        <v>0</v>
      </c>
      <c r="AO26" s="211"/>
      <c r="AP26" s="210">
        <v>0</v>
      </c>
      <c r="AQ26" s="211"/>
      <c r="AR26" s="210">
        <v>0</v>
      </c>
      <c r="AS26" s="211"/>
      <c r="AT26" s="210">
        <v>0</v>
      </c>
      <c r="AU26" s="211"/>
      <c r="AV26" s="210">
        <v>68.400000000000006</v>
      </c>
      <c r="AW26" s="211"/>
      <c r="AX26" s="210">
        <v>129.44</v>
      </c>
      <c r="AY26" s="211"/>
      <c r="AZ26" s="210">
        <f>ROUND(SUM(H26:AX26),5)</f>
        <v>1707.4</v>
      </c>
    </row>
    <row r="27" spans="1:52">
      <c r="A27" s="209"/>
      <c r="B27" s="209"/>
      <c r="C27" s="209"/>
      <c r="D27" s="209"/>
      <c r="E27" s="209"/>
      <c r="F27" s="209"/>
      <c r="G27" s="209" t="s">
        <v>175</v>
      </c>
      <c r="H27" s="210">
        <v>0</v>
      </c>
      <c r="I27" s="211"/>
      <c r="J27" s="210">
        <v>0</v>
      </c>
      <c r="K27" s="211"/>
      <c r="L27" s="210">
        <v>0</v>
      </c>
      <c r="M27" s="211"/>
      <c r="N27" s="210">
        <v>0</v>
      </c>
      <c r="O27" s="211"/>
      <c r="P27" s="210">
        <v>0</v>
      </c>
      <c r="Q27" s="211"/>
      <c r="R27" s="210">
        <v>0</v>
      </c>
      <c r="S27" s="211"/>
      <c r="T27" s="210">
        <v>0</v>
      </c>
      <c r="U27" s="211"/>
      <c r="V27" s="210">
        <v>0</v>
      </c>
      <c r="W27" s="211"/>
      <c r="X27" s="210">
        <v>0</v>
      </c>
      <c r="Y27" s="211"/>
      <c r="Z27" s="210">
        <v>0</v>
      </c>
      <c r="AA27" s="211"/>
      <c r="AB27" s="210">
        <v>0</v>
      </c>
      <c r="AC27" s="211"/>
      <c r="AD27" s="210">
        <v>4901.03</v>
      </c>
      <c r="AE27" s="211"/>
      <c r="AF27" s="210">
        <v>0</v>
      </c>
      <c r="AG27" s="211"/>
      <c r="AH27" s="210">
        <v>0</v>
      </c>
      <c r="AI27" s="211"/>
      <c r="AJ27" s="210">
        <v>0</v>
      </c>
      <c r="AK27" s="211"/>
      <c r="AL27" s="210">
        <v>1631.8</v>
      </c>
      <c r="AM27" s="211"/>
      <c r="AN27" s="210">
        <v>0</v>
      </c>
      <c r="AO27" s="211"/>
      <c r="AP27" s="210">
        <v>0</v>
      </c>
      <c r="AQ27" s="211"/>
      <c r="AR27" s="210">
        <v>592.02</v>
      </c>
      <c r="AS27" s="211"/>
      <c r="AT27" s="210">
        <v>6.75</v>
      </c>
      <c r="AU27" s="211"/>
      <c r="AV27" s="210">
        <v>452.4</v>
      </c>
      <c r="AW27" s="211"/>
      <c r="AX27" s="210">
        <v>0.31</v>
      </c>
      <c r="AY27" s="211"/>
      <c r="AZ27" s="210">
        <f>ROUND(SUM(H27:AX27),5)</f>
        <v>7584.31</v>
      </c>
    </row>
    <row r="28" spans="1:52" ht="15" thickBot="1">
      <c r="A28" s="209"/>
      <c r="B28" s="209"/>
      <c r="C28" s="209"/>
      <c r="D28" s="209"/>
      <c r="E28" s="209"/>
      <c r="F28" s="209"/>
      <c r="G28" s="209" t="s">
        <v>179</v>
      </c>
      <c r="H28" s="213">
        <v>0</v>
      </c>
      <c r="I28" s="211"/>
      <c r="J28" s="213">
        <v>368.5</v>
      </c>
      <c r="K28" s="211"/>
      <c r="L28" s="213">
        <v>0</v>
      </c>
      <c r="M28" s="211"/>
      <c r="N28" s="213">
        <v>0</v>
      </c>
      <c r="O28" s="211"/>
      <c r="P28" s="213">
        <v>0</v>
      </c>
      <c r="Q28" s="211"/>
      <c r="R28" s="213">
        <v>0</v>
      </c>
      <c r="S28" s="211"/>
      <c r="T28" s="213">
        <v>0</v>
      </c>
      <c r="U28" s="211"/>
      <c r="V28" s="213">
        <v>598</v>
      </c>
      <c r="W28" s="211"/>
      <c r="X28" s="213">
        <v>0</v>
      </c>
      <c r="Y28" s="211"/>
      <c r="Z28" s="213">
        <v>0</v>
      </c>
      <c r="AA28" s="211"/>
      <c r="AB28" s="213">
        <v>33.5</v>
      </c>
      <c r="AC28" s="211"/>
      <c r="AD28" s="213">
        <v>104</v>
      </c>
      <c r="AE28" s="211"/>
      <c r="AF28" s="213">
        <v>0</v>
      </c>
      <c r="AG28" s="211"/>
      <c r="AH28" s="213">
        <v>360</v>
      </c>
      <c r="AI28" s="211"/>
      <c r="AJ28" s="213">
        <v>15</v>
      </c>
      <c r="AK28" s="211"/>
      <c r="AL28" s="213">
        <v>27.61</v>
      </c>
      <c r="AM28" s="211"/>
      <c r="AN28" s="213">
        <v>0</v>
      </c>
      <c r="AO28" s="211"/>
      <c r="AP28" s="213">
        <v>0</v>
      </c>
      <c r="AQ28" s="211"/>
      <c r="AR28" s="213">
        <v>30</v>
      </c>
      <c r="AS28" s="211"/>
      <c r="AT28" s="213">
        <v>0</v>
      </c>
      <c r="AU28" s="211"/>
      <c r="AV28" s="213">
        <v>0</v>
      </c>
      <c r="AW28" s="211"/>
      <c r="AX28" s="213">
        <v>0</v>
      </c>
      <c r="AY28" s="211"/>
      <c r="AZ28" s="213">
        <f>ROUND(SUM(H28:AX28),5)</f>
        <v>1536.61</v>
      </c>
    </row>
    <row r="29" spans="1:52">
      <c r="A29" s="209"/>
      <c r="B29" s="209"/>
      <c r="C29" s="209"/>
      <c r="D29" s="209"/>
      <c r="E29" s="209"/>
      <c r="F29" s="209" t="s">
        <v>182</v>
      </c>
      <c r="G29" s="209"/>
      <c r="H29" s="210">
        <f>ROUND(SUM(H25:H28),5)</f>
        <v>0</v>
      </c>
      <c r="I29" s="211"/>
      <c r="J29" s="210">
        <f>ROUND(SUM(J25:J28),5)</f>
        <v>368.5</v>
      </c>
      <c r="K29" s="211"/>
      <c r="L29" s="210">
        <f>ROUND(SUM(L25:L28),5)</f>
        <v>0</v>
      </c>
      <c r="M29" s="211"/>
      <c r="N29" s="210">
        <f>ROUND(SUM(N25:N28),5)</f>
        <v>0</v>
      </c>
      <c r="O29" s="211"/>
      <c r="P29" s="210">
        <f>ROUND(SUM(P25:P28),5)</f>
        <v>0</v>
      </c>
      <c r="Q29" s="211"/>
      <c r="R29" s="210">
        <f>ROUND(SUM(R25:R28),5)</f>
        <v>0</v>
      </c>
      <c r="S29" s="211"/>
      <c r="T29" s="210">
        <f>ROUND(SUM(T25:T28),5)</f>
        <v>0</v>
      </c>
      <c r="U29" s="211"/>
      <c r="V29" s="210">
        <f>ROUND(SUM(V25:V28),5)</f>
        <v>598</v>
      </c>
      <c r="W29" s="211"/>
      <c r="X29" s="210">
        <f>ROUND(SUM(X25:X28),5)</f>
        <v>0</v>
      </c>
      <c r="Y29" s="211"/>
      <c r="Z29" s="210">
        <f>ROUND(SUM(Z25:Z28),5)</f>
        <v>0</v>
      </c>
      <c r="AA29" s="211"/>
      <c r="AB29" s="210">
        <f>ROUND(SUM(AB25:AB28),5)</f>
        <v>33.5</v>
      </c>
      <c r="AC29" s="211"/>
      <c r="AD29" s="210">
        <f>ROUND(SUM(AD25:AD28),5)</f>
        <v>5512.2</v>
      </c>
      <c r="AE29" s="211"/>
      <c r="AF29" s="210">
        <f>ROUND(SUM(AF25:AF28),5)</f>
        <v>0</v>
      </c>
      <c r="AG29" s="211"/>
      <c r="AH29" s="210">
        <f>ROUND(SUM(AH25:AH28),5)</f>
        <v>360</v>
      </c>
      <c r="AI29" s="211"/>
      <c r="AJ29" s="210">
        <f>ROUND(SUM(AJ25:AJ28),5)</f>
        <v>15</v>
      </c>
      <c r="AK29" s="211"/>
      <c r="AL29" s="210">
        <f>ROUND(SUM(AL25:AL28),5)</f>
        <v>2661.8</v>
      </c>
      <c r="AM29" s="211"/>
      <c r="AN29" s="210">
        <f>ROUND(SUM(AN25:AN28),5)</f>
        <v>0</v>
      </c>
      <c r="AO29" s="211"/>
      <c r="AP29" s="210">
        <f>ROUND(SUM(AP25:AP28),5)</f>
        <v>0</v>
      </c>
      <c r="AQ29" s="211"/>
      <c r="AR29" s="210">
        <f>ROUND(SUM(AR25:AR28),5)</f>
        <v>622.02</v>
      </c>
      <c r="AS29" s="211"/>
      <c r="AT29" s="210">
        <f>ROUND(SUM(AT25:AT28),5)</f>
        <v>6.75</v>
      </c>
      <c r="AU29" s="211"/>
      <c r="AV29" s="210">
        <f>ROUND(SUM(AV25:AV28),5)</f>
        <v>520.79999999999995</v>
      </c>
      <c r="AW29" s="211"/>
      <c r="AX29" s="210">
        <f>ROUND(SUM(AX25:AX28),5)</f>
        <v>129.75</v>
      </c>
      <c r="AY29" s="211"/>
      <c r="AZ29" s="210">
        <f>ROUND(SUM(H29:AX29),5)</f>
        <v>10828.32</v>
      </c>
    </row>
    <row r="30" spans="1:52">
      <c r="A30" s="209"/>
      <c r="B30" s="209"/>
      <c r="C30" s="209"/>
      <c r="D30" s="209"/>
      <c r="E30" s="209"/>
      <c r="F30" s="209" t="s">
        <v>129</v>
      </c>
      <c r="G30" s="209"/>
      <c r="H30" s="210"/>
      <c r="I30" s="211"/>
      <c r="J30" s="210"/>
      <c r="K30" s="211"/>
      <c r="L30" s="210"/>
      <c r="M30" s="211"/>
      <c r="N30" s="210"/>
      <c r="O30" s="211"/>
      <c r="P30" s="210"/>
      <c r="Q30" s="211"/>
      <c r="R30" s="210"/>
      <c r="S30" s="211"/>
      <c r="T30" s="210"/>
      <c r="U30" s="211"/>
      <c r="V30" s="210"/>
      <c r="W30" s="211"/>
      <c r="X30" s="210"/>
      <c r="Y30" s="211"/>
      <c r="Z30" s="210"/>
      <c r="AA30" s="211"/>
      <c r="AB30" s="210"/>
      <c r="AC30" s="211"/>
      <c r="AD30" s="210"/>
      <c r="AE30" s="211"/>
      <c r="AF30" s="210"/>
      <c r="AG30" s="211"/>
      <c r="AH30" s="210"/>
      <c r="AI30" s="211"/>
      <c r="AJ30" s="210"/>
      <c r="AK30" s="211"/>
      <c r="AL30" s="210"/>
      <c r="AM30" s="211"/>
      <c r="AN30" s="210"/>
      <c r="AO30" s="211"/>
      <c r="AP30" s="210"/>
      <c r="AQ30" s="211"/>
      <c r="AR30" s="210"/>
      <c r="AS30" s="211"/>
      <c r="AT30" s="210"/>
      <c r="AU30" s="211"/>
      <c r="AV30" s="210"/>
      <c r="AW30" s="211"/>
      <c r="AX30" s="210"/>
      <c r="AY30" s="211"/>
      <c r="AZ30" s="210"/>
    </row>
    <row r="31" spans="1:52">
      <c r="A31" s="209"/>
      <c r="B31" s="209"/>
      <c r="C31" s="209"/>
      <c r="D31" s="209"/>
      <c r="E31" s="209"/>
      <c r="F31" s="209"/>
      <c r="G31" s="209" t="s">
        <v>186</v>
      </c>
      <c r="H31" s="210">
        <v>514.79999999999995</v>
      </c>
      <c r="I31" s="211"/>
      <c r="J31" s="210">
        <v>-5.2</v>
      </c>
      <c r="K31" s="211"/>
      <c r="L31" s="210">
        <v>-5.2</v>
      </c>
      <c r="M31" s="211"/>
      <c r="N31" s="210">
        <v>29.8</v>
      </c>
      <c r="O31" s="211"/>
      <c r="P31" s="210">
        <v>-15.6</v>
      </c>
      <c r="Q31" s="211"/>
      <c r="R31" s="210">
        <v>-14.38</v>
      </c>
      <c r="S31" s="211"/>
      <c r="T31" s="210">
        <v>-15.6</v>
      </c>
      <c r="U31" s="211"/>
      <c r="V31" s="210">
        <v>-15.6</v>
      </c>
      <c r="W31" s="211"/>
      <c r="X31" s="210">
        <v>-13</v>
      </c>
      <c r="Y31" s="211"/>
      <c r="Z31" s="210">
        <v>-13</v>
      </c>
      <c r="AA31" s="211"/>
      <c r="AB31" s="210">
        <v>-13</v>
      </c>
      <c r="AC31" s="211"/>
      <c r="AD31" s="210">
        <v>-13</v>
      </c>
      <c r="AE31" s="211"/>
      <c r="AF31" s="210">
        <v>-13</v>
      </c>
      <c r="AG31" s="211"/>
      <c r="AH31" s="210">
        <v>-13</v>
      </c>
      <c r="AI31" s="211"/>
      <c r="AJ31" s="210">
        <v>-13</v>
      </c>
      <c r="AK31" s="211"/>
      <c r="AL31" s="210">
        <v>-13</v>
      </c>
      <c r="AM31" s="211"/>
      <c r="AN31" s="210">
        <v>-13</v>
      </c>
      <c r="AO31" s="211"/>
      <c r="AP31" s="210">
        <v>-10.4</v>
      </c>
      <c r="AQ31" s="211"/>
      <c r="AR31" s="210">
        <v>285.52</v>
      </c>
      <c r="AS31" s="211"/>
      <c r="AT31" s="210">
        <v>-13</v>
      </c>
      <c r="AU31" s="211"/>
      <c r="AV31" s="210">
        <v>0</v>
      </c>
      <c r="AW31" s="211"/>
      <c r="AX31" s="210">
        <v>0</v>
      </c>
      <c r="AY31" s="211"/>
      <c r="AZ31" s="210">
        <f t="shared" ref="AZ31:AZ50" si="1">ROUND(SUM(H31:AX31),5)</f>
        <v>618.14</v>
      </c>
    </row>
    <row r="32" spans="1:52">
      <c r="A32" s="209"/>
      <c r="B32" s="209"/>
      <c r="C32" s="209"/>
      <c r="D32" s="209"/>
      <c r="E32" s="209"/>
      <c r="F32" s="209"/>
      <c r="G32" s="209" t="s">
        <v>188</v>
      </c>
      <c r="H32" s="210">
        <v>6026.03</v>
      </c>
      <c r="I32" s="211"/>
      <c r="J32" s="210">
        <v>4373.18</v>
      </c>
      <c r="K32" s="211"/>
      <c r="L32" s="210">
        <v>5606.16</v>
      </c>
      <c r="M32" s="211"/>
      <c r="N32" s="210">
        <v>10716.43</v>
      </c>
      <c r="O32" s="211"/>
      <c r="P32" s="210">
        <v>11879.4</v>
      </c>
      <c r="Q32" s="211"/>
      <c r="R32" s="210">
        <v>9760</v>
      </c>
      <c r="S32" s="211"/>
      <c r="T32" s="210">
        <v>13517.62</v>
      </c>
      <c r="U32" s="211"/>
      <c r="V32" s="210">
        <v>16073.17</v>
      </c>
      <c r="W32" s="211"/>
      <c r="X32" s="210">
        <v>21950.62</v>
      </c>
      <c r="Y32" s="211"/>
      <c r="Z32" s="210">
        <v>19580.95</v>
      </c>
      <c r="AA32" s="211"/>
      <c r="AB32" s="210">
        <v>37002.089999999997</v>
      </c>
      <c r="AC32" s="211"/>
      <c r="AD32" s="210">
        <v>202582.59</v>
      </c>
      <c r="AE32" s="211"/>
      <c r="AF32" s="210">
        <v>34534.97</v>
      </c>
      <c r="AG32" s="211"/>
      <c r="AH32" s="210">
        <v>34783.79</v>
      </c>
      <c r="AI32" s="211"/>
      <c r="AJ32" s="210">
        <v>27101.439999999999</v>
      </c>
      <c r="AK32" s="211"/>
      <c r="AL32" s="210">
        <v>11216.98</v>
      </c>
      <c r="AM32" s="211"/>
      <c r="AN32" s="210">
        <v>29944.57</v>
      </c>
      <c r="AO32" s="211"/>
      <c r="AP32" s="210">
        <v>25612.2</v>
      </c>
      <c r="AQ32" s="211"/>
      <c r="AR32" s="210">
        <v>19947.02</v>
      </c>
      <c r="AS32" s="211"/>
      <c r="AT32" s="210">
        <v>26300.82</v>
      </c>
      <c r="AU32" s="211"/>
      <c r="AV32" s="210">
        <v>21152.84</v>
      </c>
      <c r="AW32" s="211"/>
      <c r="AX32" s="210">
        <v>23663.61</v>
      </c>
      <c r="AY32" s="211"/>
      <c r="AZ32" s="210">
        <f t="shared" si="1"/>
        <v>613326.48</v>
      </c>
    </row>
    <row r="33" spans="1:52">
      <c r="A33" s="209"/>
      <c r="B33" s="209"/>
      <c r="C33" s="209"/>
      <c r="D33" s="209"/>
      <c r="E33" s="209"/>
      <c r="F33" s="209"/>
      <c r="G33" s="209" t="s">
        <v>191</v>
      </c>
      <c r="H33" s="210">
        <v>0</v>
      </c>
      <c r="I33" s="211"/>
      <c r="J33" s="210">
        <v>0</v>
      </c>
      <c r="K33" s="211"/>
      <c r="L33" s="210">
        <v>0</v>
      </c>
      <c r="M33" s="211"/>
      <c r="N33" s="210">
        <v>0</v>
      </c>
      <c r="O33" s="211"/>
      <c r="P33" s="210">
        <v>331.6</v>
      </c>
      <c r="Q33" s="211"/>
      <c r="R33" s="210">
        <v>0</v>
      </c>
      <c r="S33" s="211"/>
      <c r="T33" s="210">
        <v>0</v>
      </c>
      <c r="U33" s="211"/>
      <c r="V33" s="210">
        <v>0</v>
      </c>
      <c r="W33" s="211"/>
      <c r="X33" s="210">
        <v>3300</v>
      </c>
      <c r="Y33" s="211"/>
      <c r="Z33" s="210">
        <v>789</v>
      </c>
      <c r="AA33" s="211"/>
      <c r="AB33" s="210">
        <v>0</v>
      </c>
      <c r="AC33" s="211"/>
      <c r="AD33" s="210">
        <v>1735.55</v>
      </c>
      <c r="AE33" s="211"/>
      <c r="AF33" s="210">
        <v>0</v>
      </c>
      <c r="AG33" s="211"/>
      <c r="AH33" s="210">
        <v>2865.24</v>
      </c>
      <c r="AI33" s="211"/>
      <c r="AJ33" s="210">
        <v>2496.3000000000002</v>
      </c>
      <c r="AK33" s="211"/>
      <c r="AL33" s="210">
        <v>1029.5</v>
      </c>
      <c r="AM33" s="211"/>
      <c r="AN33" s="210">
        <v>1033.96</v>
      </c>
      <c r="AO33" s="211"/>
      <c r="AP33" s="210">
        <v>170.1</v>
      </c>
      <c r="AQ33" s="211"/>
      <c r="AR33" s="210">
        <v>0</v>
      </c>
      <c r="AS33" s="211"/>
      <c r="AT33" s="210">
        <v>1.1100000000000001</v>
      </c>
      <c r="AU33" s="211"/>
      <c r="AV33" s="210">
        <v>0</v>
      </c>
      <c r="AW33" s="211"/>
      <c r="AX33" s="210">
        <v>1472.65</v>
      </c>
      <c r="AY33" s="211"/>
      <c r="AZ33" s="210">
        <f t="shared" si="1"/>
        <v>15225.01</v>
      </c>
    </row>
    <row r="34" spans="1:52">
      <c r="A34" s="209"/>
      <c r="B34" s="209"/>
      <c r="C34" s="209"/>
      <c r="D34" s="209"/>
      <c r="E34" s="209"/>
      <c r="F34" s="209"/>
      <c r="G34" s="209" t="s">
        <v>194</v>
      </c>
      <c r="H34" s="210">
        <v>45.6</v>
      </c>
      <c r="I34" s="211"/>
      <c r="J34" s="210">
        <v>161.77000000000001</v>
      </c>
      <c r="K34" s="211"/>
      <c r="L34" s="210">
        <v>0</v>
      </c>
      <c r="M34" s="211"/>
      <c r="N34" s="210">
        <v>146</v>
      </c>
      <c r="O34" s="211"/>
      <c r="P34" s="210">
        <v>30</v>
      </c>
      <c r="Q34" s="211"/>
      <c r="R34" s="210">
        <v>151.96</v>
      </c>
      <c r="S34" s="211"/>
      <c r="T34" s="210">
        <v>52.97</v>
      </c>
      <c r="U34" s="211"/>
      <c r="V34" s="210">
        <v>369</v>
      </c>
      <c r="W34" s="211"/>
      <c r="X34" s="210">
        <v>2212.59</v>
      </c>
      <c r="Y34" s="211"/>
      <c r="Z34" s="210">
        <v>513.67999999999995</v>
      </c>
      <c r="AA34" s="211"/>
      <c r="AB34" s="210">
        <v>54</v>
      </c>
      <c r="AC34" s="211"/>
      <c r="AD34" s="210">
        <v>788.71</v>
      </c>
      <c r="AE34" s="211"/>
      <c r="AF34" s="210">
        <v>0</v>
      </c>
      <c r="AG34" s="211"/>
      <c r="AH34" s="210">
        <v>729.99</v>
      </c>
      <c r="AI34" s="211"/>
      <c r="AJ34" s="210">
        <v>979.95</v>
      </c>
      <c r="AK34" s="211"/>
      <c r="AL34" s="210">
        <v>321.12</v>
      </c>
      <c r="AM34" s="211"/>
      <c r="AN34" s="210">
        <v>388.75</v>
      </c>
      <c r="AO34" s="211"/>
      <c r="AP34" s="210">
        <v>867.24</v>
      </c>
      <c r="AQ34" s="211"/>
      <c r="AR34" s="210">
        <v>0</v>
      </c>
      <c r="AS34" s="211"/>
      <c r="AT34" s="210">
        <v>23.2</v>
      </c>
      <c r="AU34" s="211"/>
      <c r="AV34" s="210">
        <v>412.38</v>
      </c>
      <c r="AW34" s="211"/>
      <c r="AX34" s="210">
        <v>160.25</v>
      </c>
      <c r="AY34" s="211"/>
      <c r="AZ34" s="210">
        <f t="shared" si="1"/>
        <v>8409.16</v>
      </c>
    </row>
    <row r="35" spans="1:52">
      <c r="A35" s="209"/>
      <c r="B35" s="209"/>
      <c r="C35" s="209"/>
      <c r="D35" s="209"/>
      <c r="E35" s="209"/>
      <c r="F35" s="209"/>
      <c r="G35" s="209" t="s">
        <v>196</v>
      </c>
      <c r="H35" s="210">
        <v>0</v>
      </c>
      <c r="I35" s="211"/>
      <c r="J35" s="210">
        <v>0</v>
      </c>
      <c r="K35" s="211"/>
      <c r="L35" s="210">
        <v>0</v>
      </c>
      <c r="M35" s="211"/>
      <c r="N35" s="210">
        <v>0</v>
      </c>
      <c r="O35" s="211"/>
      <c r="P35" s="210">
        <v>0</v>
      </c>
      <c r="Q35" s="211"/>
      <c r="R35" s="210">
        <v>0</v>
      </c>
      <c r="S35" s="211"/>
      <c r="T35" s="210">
        <v>0</v>
      </c>
      <c r="U35" s="211"/>
      <c r="V35" s="210">
        <v>0</v>
      </c>
      <c r="W35" s="211"/>
      <c r="X35" s="210">
        <v>105.8</v>
      </c>
      <c r="Y35" s="211"/>
      <c r="Z35" s="210">
        <v>75</v>
      </c>
      <c r="AA35" s="211"/>
      <c r="AB35" s="210">
        <v>0</v>
      </c>
      <c r="AC35" s="211"/>
      <c r="AD35" s="210">
        <v>1099.57</v>
      </c>
      <c r="AE35" s="211"/>
      <c r="AF35" s="210">
        <v>0</v>
      </c>
      <c r="AG35" s="211"/>
      <c r="AH35" s="210">
        <v>0</v>
      </c>
      <c r="AI35" s="211"/>
      <c r="AJ35" s="210">
        <v>0</v>
      </c>
      <c r="AK35" s="211"/>
      <c r="AL35" s="210">
        <v>0</v>
      </c>
      <c r="AM35" s="211"/>
      <c r="AN35" s="210">
        <v>0</v>
      </c>
      <c r="AO35" s="211"/>
      <c r="AP35" s="210">
        <v>225</v>
      </c>
      <c r="AQ35" s="211"/>
      <c r="AR35" s="210">
        <v>7.83</v>
      </c>
      <c r="AS35" s="211"/>
      <c r="AT35" s="210">
        <v>11</v>
      </c>
      <c r="AU35" s="211"/>
      <c r="AV35" s="210">
        <v>65</v>
      </c>
      <c r="AW35" s="211"/>
      <c r="AX35" s="210">
        <v>1681.86</v>
      </c>
      <c r="AY35" s="211"/>
      <c r="AZ35" s="210">
        <f t="shared" si="1"/>
        <v>3271.06</v>
      </c>
    </row>
    <row r="36" spans="1:52">
      <c r="A36" s="209"/>
      <c r="B36" s="209"/>
      <c r="C36" s="209"/>
      <c r="D36" s="209"/>
      <c r="E36" s="209"/>
      <c r="F36" s="209"/>
      <c r="G36" s="209" t="s">
        <v>331</v>
      </c>
      <c r="H36" s="210">
        <v>46.3</v>
      </c>
      <c r="I36" s="211"/>
      <c r="J36" s="210">
        <v>0</v>
      </c>
      <c r="K36" s="211"/>
      <c r="L36" s="210">
        <v>386.9</v>
      </c>
      <c r="M36" s="211"/>
      <c r="N36" s="210">
        <v>1532.56</v>
      </c>
      <c r="O36" s="211"/>
      <c r="P36" s="210">
        <v>0</v>
      </c>
      <c r="Q36" s="211"/>
      <c r="R36" s="210">
        <v>0</v>
      </c>
      <c r="S36" s="211"/>
      <c r="T36" s="210">
        <v>0</v>
      </c>
      <c r="U36" s="211"/>
      <c r="V36" s="210">
        <v>187.5</v>
      </c>
      <c r="W36" s="211"/>
      <c r="X36" s="210">
        <v>0</v>
      </c>
      <c r="Y36" s="211"/>
      <c r="Z36" s="210">
        <v>15.35</v>
      </c>
      <c r="AA36" s="211"/>
      <c r="AB36" s="210">
        <v>1080.7</v>
      </c>
      <c r="AC36" s="211"/>
      <c r="AD36" s="210">
        <v>47.17</v>
      </c>
      <c r="AE36" s="211"/>
      <c r="AF36" s="210">
        <v>245.1</v>
      </c>
      <c r="AG36" s="211"/>
      <c r="AH36" s="210">
        <v>178.57</v>
      </c>
      <c r="AI36" s="211"/>
      <c r="AJ36" s="210">
        <v>111.11</v>
      </c>
      <c r="AK36" s="211"/>
      <c r="AL36" s="210">
        <v>125</v>
      </c>
      <c r="AM36" s="211"/>
      <c r="AN36" s="210">
        <v>125</v>
      </c>
      <c r="AO36" s="211"/>
      <c r="AP36" s="210">
        <v>1146.2</v>
      </c>
      <c r="AQ36" s="211"/>
      <c r="AR36" s="210">
        <v>1291.03</v>
      </c>
      <c r="AS36" s="211"/>
      <c r="AT36" s="210">
        <v>726.17</v>
      </c>
      <c r="AU36" s="211"/>
      <c r="AV36" s="210">
        <v>440</v>
      </c>
      <c r="AW36" s="211"/>
      <c r="AX36" s="210">
        <v>576.05999999999995</v>
      </c>
      <c r="AY36" s="211"/>
      <c r="AZ36" s="210">
        <f t="shared" si="1"/>
        <v>8260.7199999999993</v>
      </c>
    </row>
    <row r="37" spans="1:52">
      <c r="A37" s="209"/>
      <c r="B37" s="209"/>
      <c r="C37" s="209"/>
      <c r="D37" s="209"/>
      <c r="E37" s="209"/>
      <c r="F37" s="209"/>
      <c r="G37" s="209" t="s">
        <v>118</v>
      </c>
      <c r="H37" s="210">
        <v>17.100000000000001</v>
      </c>
      <c r="I37" s="211"/>
      <c r="J37" s="210">
        <v>150</v>
      </c>
      <c r="K37" s="211"/>
      <c r="L37" s="210">
        <v>0</v>
      </c>
      <c r="M37" s="211"/>
      <c r="N37" s="210">
        <v>0</v>
      </c>
      <c r="O37" s="211"/>
      <c r="P37" s="210">
        <v>20.83</v>
      </c>
      <c r="Q37" s="211"/>
      <c r="R37" s="210">
        <v>20.83</v>
      </c>
      <c r="S37" s="211"/>
      <c r="T37" s="210">
        <v>0</v>
      </c>
      <c r="U37" s="211"/>
      <c r="V37" s="210">
        <v>0</v>
      </c>
      <c r="W37" s="211"/>
      <c r="X37" s="210">
        <v>0</v>
      </c>
      <c r="Y37" s="211"/>
      <c r="Z37" s="210">
        <v>0</v>
      </c>
      <c r="AA37" s="211"/>
      <c r="AB37" s="210">
        <v>0</v>
      </c>
      <c r="AC37" s="211"/>
      <c r="AD37" s="210">
        <v>0</v>
      </c>
      <c r="AE37" s="211"/>
      <c r="AF37" s="210">
        <v>0</v>
      </c>
      <c r="AG37" s="211"/>
      <c r="AH37" s="210">
        <v>0</v>
      </c>
      <c r="AI37" s="211"/>
      <c r="AJ37" s="210">
        <v>0</v>
      </c>
      <c r="AK37" s="211"/>
      <c r="AL37" s="210">
        <v>0</v>
      </c>
      <c r="AM37" s="211"/>
      <c r="AN37" s="210">
        <v>0</v>
      </c>
      <c r="AO37" s="211"/>
      <c r="AP37" s="210">
        <v>0</v>
      </c>
      <c r="AQ37" s="211"/>
      <c r="AR37" s="210">
        <v>144.97</v>
      </c>
      <c r="AS37" s="211"/>
      <c r="AT37" s="210">
        <v>9.27</v>
      </c>
      <c r="AU37" s="211"/>
      <c r="AV37" s="210">
        <v>103.9</v>
      </c>
      <c r="AW37" s="211"/>
      <c r="AX37" s="210">
        <v>-113.17</v>
      </c>
      <c r="AY37" s="211"/>
      <c r="AZ37" s="210">
        <f t="shared" si="1"/>
        <v>353.73</v>
      </c>
    </row>
    <row r="38" spans="1:52">
      <c r="A38" s="209"/>
      <c r="B38" s="209"/>
      <c r="C38" s="209"/>
      <c r="D38" s="209"/>
      <c r="E38" s="209"/>
      <c r="F38" s="209"/>
      <c r="G38" s="209" t="s">
        <v>201</v>
      </c>
      <c r="H38" s="210">
        <v>287.49</v>
      </c>
      <c r="I38" s="211"/>
      <c r="J38" s="210">
        <v>139.82</v>
      </c>
      <c r="K38" s="211"/>
      <c r="L38" s="210">
        <v>191.45</v>
      </c>
      <c r="M38" s="211"/>
      <c r="N38" s="210">
        <v>623.20000000000005</v>
      </c>
      <c r="O38" s="211"/>
      <c r="P38" s="210">
        <v>461.83</v>
      </c>
      <c r="Q38" s="211"/>
      <c r="R38" s="210">
        <v>382.47</v>
      </c>
      <c r="S38" s="211"/>
      <c r="T38" s="210">
        <v>344.75</v>
      </c>
      <c r="U38" s="211"/>
      <c r="V38" s="210">
        <v>488.96</v>
      </c>
      <c r="W38" s="211"/>
      <c r="X38" s="210">
        <v>801.85</v>
      </c>
      <c r="Y38" s="211"/>
      <c r="Z38" s="210">
        <v>2609.83</v>
      </c>
      <c r="AA38" s="211"/>
      <c r="AB38" s="210">
        <v>3153.63</v>
      </c>
      <c r="AC38" s="211"/>
      <c r="AD38" s="210">
        <v>27560.560000000001</v>
      </c>
      <c r="AE38" s="211"/>
      <c r="AF38" s="210">
        <v>4256.03</v>
      </c>
      <c r="AG38" s="211"/>
      <c r="AH38" s="210">
        <v>4607.6000000000004</v>
      </c>
      <c r="AI38" s="211"/>
      <c r="AJ38" s="210">
        <v>3931</v>
      </c>
      <c r="AK38" s="211"/>
      <c r="AL38" s="210">
        <v>4189.24</v>
      </c>
      <c r="AM38" s="211"/>
      <c r="AN38" s="210">
        <v>4505.07</v>
      </c>
      <c r="AO38" s="211"/>
      <c r="AP38" s="210">
        <v>4458.37</v>
      </c>
      <c r="AQ38" s="211"/>
      <c r="AR38" s="210">
        <v>5813.9</v>
      </c>
      <c r="AS38" s="211"/>
      <c r="AT38" s="210">
        <v>5454.42</v>
      </c>
      <c r="AU38" s="211"/>
      <c r="AV38" s="210">
        <v>4729.25</v>
      </c>
      <c r="AW38" s="211"/>
      <c r="AX38" s="210">
        <v>398.99</v>
      </c>
      <c r="AY38" s="211"/>
      <c r="AZ38" s="210">
        <f t="shared" si="1"/>
        <v>79389.710000000006</v>
      </c>
    </row>
    <row r="39" spans="1:52">
      <c r="A39" s="209"/>
      <c r="B39" s="209"/>
      <c r="C39" s="209"/>
      <c r="D39" s="209"/>
      <c r="E39" s="209"/>
      <c r="F39" s="209"/>
      <c r="G39" s="209" t="s">
        <v>205</v>
      </c>
      <c r="H39" s="210">
        <v>0</v>
      </c>
      <c r="I39" s="211"/>
      <c r="J39" s="210">
        <v>0</v>
      </c>
      <c r="K39" s="211"/>
      <c r="L39" s="210">
        <v>0</v>
      </c>
      <c r="M39" s="211"/>
      <c r="N39" s="210">
        <v>0</v>
      </c>
      <c r="O39" s="211"/>
      <c r="P39" s="210">
        <v>1.36</v>
      </c>
      <c r="Q39" s="211"/>
      <c r="R39" s="210">
        <v>2.78</v>
      </c>
      <c r="S39" s="211"/>
      <c r="T39" s="210">
        <v>0</v>
      </c>
      <c r="U39" s="211"/>
      <c r="V39" s="210">
        <v>0</v>
      </c>
      <c r="W39" s="211"/>
      <c r="X39" s="210">
        <v>0</v>
      </c>
      <c r="Y39" s="211"/>
      <c r="Z39" s="210">
        <v>0</v>
      </c>
      <c r="AA39" s="211"/>
      <c r="AB39" s="210">
        <v>0</v>
      </c>
      <c r="AC39" s="211"/>
      <c r="AD39" s="210">
        <v>0</v>
      </c>
      <c r="AE39" s="211"/>
      <c r="AF39" s="210">
        <v>0</v>
      </c>
      <c r="AG39" s="211"/>
      <c r="AH39" s="210">
        <v>0</v>
      </c>
      <c r="AI39" s="211"/>
      <c r="AJ39" s="210">
        <v>0</v>
      </c>
      <c r="AK39" s="211"/>
      <c r="AL39" s="210">
        <v>33.950000000000003</v>
      </c>
      <c r="AM39" s="211"/>
      <c r="AN39" s="210">
        <v>0</v>
      </c>
      <c r="AO39" s="211"/>
      <c r="AP39" s="210">
        <v>0</v>
      </c>
      <c r="AQ39" s="211"/>
      <c r="AR39" s="210">
        <v>440.89</v>
      </c>
      <c r="AS39" s="211"/>
      <c r="AT39" s="210">
        <v>203.76</v>
      </c>
      <c r="AU39" s="211"/>
      <c r="AV39" s="210">
        <v>0</v>
      </c>
      <c r="AW39" s="211"/>
      <c r="AX39" s="210">
        <v>0</v>
      </c>
      <c r="AY39" s="211"/>
      <c r="AZ39" s="210">
        <f t="shared" si="1"/>
        <v>682.74</v>
      </c>
    </row>
    <row r="40" spans="1:52">
      <c r="A40" s="209"/>
      <c r="B40" s="209"/>
      <c r="C40" s="209"/>
      <c r="D40" s="209"/>
      <c r="E40" s="209"/>
      <c r="F40" s="209"/>
      <c r="G40" s="209" t="s">
        <v>206</v>
      </c>
      <c r="H40" s="210">
        <v>0</v>
      </c>
      <c r="I40" s="211"/>
      <c r="J40" s="210">
        <v>0</v>
      </c>
      <c r="K40" s="211"/>
      <c r="L40" s="210">
        <v>0</v>
      </c>
      <c r="M40" s="211"/>
      <c r="N40" s="210">
        <v>0</v>
      </c>
      <c r="O40" s="211"/>
      <c r="P40" s="210">
        <v>0</v>
      </c>
      <c r="Q40" s="211"/>
      <c r="R40" s="210">
        <v>0</v>
      </c>
      <c r="S40" s="211"/>
      <c r="T40" s="210">
        <v>0</v>
      </c>
      <c r="U40" s="211"/>
      <c r="V40" s="210">
        <v>0</v>
      </c>
      <c r="W40" s="211"/>
      <c r="X40" s="210">
        <v>0</v>
      </c>
      <c r="Y40" s="211"/>
      <c r="Z40" s="210">
        <v>0</v>
      </c>
      <c r="AA40" s="211"/>
      <c r="AB40" s="210">
        <v>0</v>
      </c>
      <c r="AC40" s="211"/>
      <c r="AD40" s="210">
        <v>0</v>
      </c>
      <c r="AE40" s="211"/>
      <c r="AF40" s="210">
        <v>0</v>
      </c>
      <c r="AG40" s="211"/>
      <c r="AH40" s="210">
        <v>0</v>
      </c>
      <c r="AI40" s="211"/>
      <c r="AJ40" s="210">
        <v>0</v>
      </c>
      <c r="AK40" s="211"/>
      <c r="AL40" s="210">
        <v>0</v>
      </c>
      <c r="AM40" s="211"/>
      <c r="AN40" s="210">
        <v>89.79</v>
      </c>
      <c r="AO40" s="211"/>
      <c r="AP40" s="210">
        <v>0</v>
      </c>
      <c r="AQ40" s="211"/>
      <c r="AR40" s="210">
        <v>0</v>
      </c>
      <c r="AS40" s="211"/>
      <c r="AT40" s="210">
        <v>0</v>
      </c>
      <c r="AU40" s="211"/>
      <c r="AV40" s="210">
        <v>0</v>
      </c>
      <c r="AW40" s="211"/>
      <c r="AX40" s="210">
        <v>0</v>
      </c>
      <c r="AY40" s="211"/>
      <c r="AZ40" s="210">
        <f t="shared" si="1"/>
        <v>89.79</v>
      </c>
    </row>
    <row r="41" spans="1:52">
      <c r="A41" s="209"/>
      <c r="B41" s="209"/>
      <c r="C41" s="209"/>
      <c r="D41" s="209"/>
      <c r="E41" s="209"/>
      <c r="F41" s="209"/>
      <c r="G41" s="209" t="s">
        <v>207</v>
      </c>
      <c r="H41" s="210">
        <v>0</v>
      </c>
      <c r="I41" s="211"/>
      <c r="J41" s="210">
        <v>0</v>
      </c>
      <c r="K41" s="211"/>
      <c r="L41" s="210">
        <v>49.95</v>
      </c>
      <c r="M41" s="211"/>
      <c r="N41" s="210">
        <v>50</v>
      </c>
      <c r="O41" s="211"/>
      <c r="P41" s="210">
        <v>0</v>
      </c>
      <c r="Q41" s="211"/>
      <c r="R41" s="210">
        <v>0</v>
      </c>
      <c r="S41" s="211"/>
      <c r="T41" s="210">
        <v>1700.33</v>
      </c>
      <c r="U41" s="211"/>
      <c r="V41" s="210">
        <v>0</v>
      </c>
      <c r="W41" s="211"/>
      <c r="X41" s="210">
        <v>202.44</v>
      </c>
      <c r="Y41" s="211"/>
      <c r="Z41" s="210">
        <v>42.62</v>
      </c>
      <c r="AA41" s="211"/>
      <c r="AB41" s="210">
        <v>266.27</v>
      </c>
      <c r="AC41" s="211"/>
      <c r="AD41" s="210">
        <v>124.75</v>
      </c>
      <c r="AE41" s="211"/>
      <c r="AF41" s="210">
        <v>0</v>
      </c>
      <c r="AG41" s="211"/>
      <c r="AH41" s="210">
        <v>292</v>
      </c>
      <c r="AI41" s="211"/>
      <c r="AJ41" s="210">
        <v>174</v>
      </c>
      <c r="AK41" s="211"/>
      <c r="AL41" s="210">
        <v>546.74</v>
      </c>
      <c r="AM41" s="211"/>
      <c r="AN41" s="210">
        <v>198.87</v>
      </c>
      <c r="AO41" s="211"/>
      <c r="AP41" s="210">
        <v>0</v>
      </c>
      <c r="AQ41" s="211"/>
      <c r="AR41" s="210">
        <v>11956.52</v>
      </c>
      <c r="AS41" s="211"/>
      <c r="AT41" s="210">
        <v>485.13</v>
      </c>
      <c r="AU41" s="211"/>
      <c r="AV41" s="210">
        <v>1426.6</v>
      </c>
      <c r="AW41" s="211"/>
      <c r="AX41" s="210">
        <v>187.95</v>
      </c>
      <c r="AY41" s="211"/>
      <c r="AZ41" s="210">
        <f t="shared" si="1"/>
        <v>17704.169999999998</v>
      </c>
    </row>
    <row r="42" spans="1:52" ht="15" thickBot="1">
      <c r="A42" s="209"/>
      <c r="B42" s="209"/>
      <c r="C42" s="209"/>
      <c r="D42" s="209"/>
      <c r="E42" s="209"/>
      <c r="F42" s="209"/>
      <c r="G42" s="209" t="s">
        <v>209</v>
      </c>
      <c r="H42" s="213">
        <v>343.61</v>
      </c>
      <c r="I42" s="211"/>
      <c r="J42" s="213">
        <v>179.83</v>
      </c>
      <c r="K42" s="211"/>
      <c r="L42" s="213">
        <v>249.63</v>
      </c>
      <c r="M42" s="211"/>
      <c r="N42" s="213">
        <v>687.11</v>
      </c>
      <c r="O42" s="211"/>
      <c r="P42" s="213">
        <v>908.79</v>
      </c>
      <c r="Q42" s="211"/>
      <c r="R42" s="213">
        <v>746.65</v>
      </c>
      <c r="S42" s="211"/>
      <c r="T42" s="213">
        <v>1155.6099999999999</v>
      </c>
      <c r="U42" s="211"/>
      <c r="V42" s="213">
        <v>1207.69</v>
      </c>
      <c r="W42" s="211"/>
      <c r="X42" s="213">
        <v>1492.38</v>
      </c>
      <c r="Y42" s="211"/>
      <c r="Z42" s="213">
        <v>1909.84</v>
      </c>
      <c r="AA42" s="211"/>
      <c r="AB42" s="213">
        <v>3230.89</v>
      </c>
      <c r="AC42" s="211"/>
      <c r="AD42" s="213">
        <v>3313.86</v>
      </c>
      <c r="AE42" s="211"/>
      <c r="AF42" s="213">
        <v>2657.54</v>
      </c>
      <c r="AG42" s="211"/>
      <c r="AH42" s="213">
        <v>2676.73</v>
      </c>
      <c r="AI42" s="211"/>
      <c r="AJ42" s="213">
        <v>2678.25</v>
      </c>
      <c r="AK42" s="211"/>
      <c r="AL42" s="213">
        <v>2400.06</v>
      </c>
      <c r="AM42" s="211"/>
      <c r="AN42" s="213">
        <v>2623.17</v>
      </c>
      <c r="AO42" s="211"/>
      <c r="AP42" s="213">
        <v>2175.29</v>
      </c>
      <c r="AQ42" s="211"/>
      <c r="AR42" s="213">
        <v>2426.2800000000002</v>
      </c>
      <c r="AS42" s="211"/>
      <c r="AT42" s="213">
        <v>2116.8000000000002</v>
      </c>
      <c r="AU42" s="211"/>
      <c r="AV42" s="213">
        <v>2134.9299999999998</v>
      </c>
      <c r="AW42" s="211"/>
      <c r="AX42" s="213">
        <v>2542.67</v>
      </c>
      <c r="AY42" s="211"/>
      <c r="AZ42" s="213">
        <f t="shared" si="1"/>
        <v>39857.61</v>
      </c>
    </row>
    <row r="43" spans="1:52">
      <c r="A43" s="209"/>
      <c r="B43" s="209"/>
      <c r="C43" s="209"/>
      <c r="D43" s="209"/>
      <c r="E43" s="209"/>
      <c r="F43" s="209" t="s">
        <v>135</v>
      </c>
      <c r="G43" s="209"/>
      <c r="H43" s="210">
        <f>ROUND(SUM(H30:H42),5)</f>
        <v>7280.93</v>
      </c>
      <c r="I43" s="211"/>
      <c r="J43" s="210">
        <f>ROUND(SUM(J30:J42),5)</f>
        <v>4999.3999999999996</v>
      </c>
      <c r="K43" s="211"/>
      <c r="L43" s="210">
        <f>ROUND(SUM(L30:L42),5)</f>
        <v>6478.89</v>
      </c>
      <c r="M43" s="211"/>
      <c r="N43" s="210">
        <f>ROUND(SUM(N30:N42),5)</f>
        <v>13785.1</v>
      </c>
      <c r="O43" s="211"/>
      <c r="P43" s="210">
        <f>ROUND(SUM(P30:P42),5)</f>
        <v>13618.21</v>
      </c>
      <c r="Q43" s="211"/>
      <c r="R43" s="210">
        <f>ROUND(SUM(R30:R42),5)</f>
        <v>11050.31</v>
      </c>
      <c r="S43" s="211"/>
      <c r="T43" s="210">
        <f>ROUND(SUM(T30:T42),5)</f>
        <v>16755.68</v>
      </c>
      <c r="U43" s="211"/>
      <c r="V43" s="210">
        <f>ROUND(SUM(V30:V42),5)</f>
        <v>18310.72</v>
      </c>
      <c r="W43" s="211"/>
      <c r="X43" s="210">
        <f>ROUND(SUM(X30:X42),5)</f>
        <v>30052.68</v>
      </c>
      <c r="Y43" s="211"/>
      <c r="Z43" s="210">
        <f>ROUND(SUM(Z30:Z42),5)</f>
        <v>25523.27</v>
      </c>
      <c r="AA43" s="211"/>
      <c r="AB43" s="210">
        <f>ROUND(SUM(AB30:AB42),5)</f>
        <v>44774.58</v>
      </c>
      <c r="AC43" s="211"/>
      <c r="AD43" s="210">
        <f>ROUND(SUM(AD30:AD42),5)</f>
        <v>237239.76</v>
      </c>
      <c r="AE43" s="211"/>
      <c r="AF43" s="210">
        <f>ROUND(SUM(AF30:AF42),5)</f>
        <v>41680.639999999999</v>
      </c>
      <c r="AG43" s="211"/>
      <c r="AH43" s="210">
        <f>ROUND(SUM(AH30:AH42),5)</f>
        <v>46120.92</v>
      </c>
      <c r="AI43" s="211"/>
      <c r="AJ43" s="210">
        <f>ROUND(SUM(AJ30:AJ42),5)</f>
        <v>37459.050000000003</v>
      </c>
      <c r="AK43" s="211"/>
      <c r="AL43" s="210">
        <f>ROUND(SUM(AL30:AL42),5)</f>
        <v>19849.59</v>
      </c>
      <c r="AM43" s="211"/>
      <c r="AN43" s="210">
        <f>ROUND(SUM(AN30:AN42),5)</f>
        <v>38896.18</v>
      </c>
      <c r="AO43" s="211"/>
      <c r="AP43" s="210">
        <f>ROUND(SUM(AP30:AP42),5)</f>
        <v>34644</v>
      </c>
      <c r="AQ43" s="211"/>
      <c r="AR43" s="210">
        <f>ROUND(SUM(AR30:AR42),5)</f>
        <v>42313.96</v>
      </c>
      <c r="AS43" s="211"/>
      <c r="AT43" s="210">
        <f>ROUND(SUM(AT30:AT42),5)</f>
        <v>35318.68</v>
      </c>
      <c r="AU43" s="211"/>
      <c r="AV43" s="210">
        <f>ROUND(SUM(AV30:AV42),5)</f>
        <v>30464.9</v>
      </c>
      <c r="AW43" s="211"/>
      <c r="AX43" s="210">
        <f>ROUND(SUM(AX30:AX42),5)</f>
        <v>30570.87</v>
      </c>
      <c r="AY43" s="211"/>
      <c r="AZ43" s="210">
        <f t="shared" si="1"/>
        <v>787188.32</v>
      </c>
    </row>
    <row r="44" spans="1:52" ht="15" thickBot="1">
      <c r="A44" s="209"/>
      <c r="B44" s="209"/>
      <c r="C44" s="209"/>
      <c r="D44" s="209"/>
      <c r="E44" s="209"/>
      <c r="F44" s="209" t="s">
        <v>212</v>
      </c>
      <c r="G44" s="209"/>
      <c r="H44" s="213">
        <v>0</v>
      </c>
      <c r="I44" s="211"/>
      <c r="J44" s="213">
        <v>0</v>
      </c>
      <c r="K44" s="211"/>
      <c r="L44" s="213">
        <v>0</v>
      </c>
      <c r="M44" s="211"/>
      <c r="N44" s="213">
        <v>0</v>
      </c>
      <c r="O44" s="211"/>
      <c r="P44" s="213">
        <v>0</v>
      </c>
      <c r="Q44" s="211"/>
      <c r="R44" s="213">
        <v>0</v>
      </c>
      <c r="S44" s="211"/>
      <c r="T44" s="213">
        <v>0</v>
      </c>
      <c r="U44" s="211"/>
      <c r="V44" s="213">
        <v>0</v>
      </c>
      <c r="W44" s="211"/>
      <c r="X44" s="213">
        <v>0</v>
      </c>
      <c r="Y44" s="211"/>
      <c r="Z44" s="213">
        <v>0</v>
      </c>
      <c r="AA44" s="211"/>
      <c r="AB44" s="213">
        <v>0</v>
      </c>
      <c r="AC44" s="211"/>
      <c r="AD44" s="213">
        <v>0</v>
      </c>
      <c r="AE44" s="211"/>
      <c r="AF44" s="213">
        <v>0</v>
      </c>
      <c r="AG44" s="211"/>
      <c r="AH44" s="213">
        <v>0</v>
      </c>
      <c r="AI44" s="211"/>
      <c r="AJ44" s="213">
        <v>0</v>
      </c>
      <c r="AK44" s="211"/>
      <c r="AL44" s="213">
        <v>0</v>
      </c>
      <c r="AM44" s="211"/>
      <c r="AN44" s="213">
        <v>0</v>
      </c>
      <c r="AO44" s="211"/>
      <c r="AP44" s="213">
        <v>0</v>
      </c>
      <c r="AQ44" s="211"/>
      <c r="AR44" s="213">
        <v>0</v>
      </c>
      <c r="AS44" s="211"/>
      <c r="AT44" s="213">
        <v>0</v>
      </c>
      <c r="AU44" s="211"/>
      <c r="AV44" s="213">
        <v>50</v>
      </c>
      <c r="AW44" s="211"/>
      <c r="AX44" s="213">
        <v>30.39</v>
      </c>
      <c r="AY44" s="211"/>
      <c r="AZ44" s="213">
        <f t="shared" si="1"/>
        <v>80.39</v>
      </c>
    </row>
    <row r="45" spans="1:52">
      <c r="A45" s="209"/>
      <c r="B45" s="209"/>
      <c r="C45" s="209"/>
      <c r="D45" s="209"/>
      <c r="E45" s="209" t="s">
        <v>213</v>
      </c>
      <c r="F45" s="209"/>
      <c r="G45" s="209"/>
      <c r="H45" s="210">
        <f>ROUND(H5+H11+H19+H24+H29+SUM(H43:H44),5)</f>
        <v>9296.82</v>
      </c>
      <c r="I45" s="211"/>
      <c r="J45" s="210">
        <f>ROUND(J5+J11+J19+J24+J29+SUM(J43:J44),5)</f>
        <v>8292.84</v>
      </c>
      <c r="K45" s="211"/>
      <c r="L45" s="210">
        <f>ROUND(L5+L11+L19+L24+L29+SUM(L43:L44),5)</f>
        <v>6993.61</v>
      </c>
      <c r="M45" s="211"/>
      <c r="N45" s="210">
        <f>ROUND(N5+N11+N19+N24+N29+SUM(N43:N44),5)</f>
        <v>16161.39</v>
      </c>
      <c r="O45" s="211"/>
      <c r="P45" s="210">
        <f>ROUND(P5+P11+P19+P24+P29+SUM(P43:P44),5)</f>
        <v>18666.21</v>
      </c>
      <c r="Q45" s="211"/>
      <c r="R45" s="210">
        <f>ROUND(R5+R11+R19+R24+R29+SUM(R43:R44),5)</f>
        <v>14668.69</v>
      </c>
      <c r="S45" s="211"/>
      <c r="T45" s="210">
        <f>ROUND(T5+T11+T19+T24+T29+SUM(T43:T44),5)</f>
        <v>20367.64</v>
      </c>
      <c r="U45" s="211"/>
      <c r="V45" s="210">
        <f>ROUND(V5+V11+V19+V24+V29+SUM(V43:V44),5)</f>
        <v>24940.63</v>
      </c>
      <c r="W45" s="211"/>
      <c r="X45" s="210">
        <f>ROUND(X5+X11+X19+X24+X29+SUM(X43:X44),5)</f>
        <v>49879.46</v>
      </c>
      <c r="Y45" s="211"/>
      <c r="Z45" s="210">
        <f>ROUND(Z5+Z11+Z19+Z24+Z29+SUM(Z43:Z44),5)</f>
        <v>37646.78</v>
      </c>
      <c r="AA45" s="211"/>
      <c r="AB45" s="210">
        <f>ROUND(AB5+AB11+AB19+AB24+AB29+SUM(AB43:AB44),5)</f>
        <v>45730.16</v>
      </c>
      <c r="AC45" s="211"/>
      <c r="AD45" s="210">
        <f>ROUND(AD5+AD11+AD19+AD24+AD29+SUM(AD43:AD44),5)</f>
        <v>272550.33</v>
      </c>
      <c r="AE45" s="211"/>
      <c r="AF45" s="210">
        <f>ROUND(AF5+AF11+AF19+AF24+AF29+SUM(AF43:AF44),5)</f>
        <v>83178.740000000005</v>
      </c>
      <c r="AG45" s="211"/>
      <c r="AH45" s="210">
        <f>ROUND(AH5+AH11+AH19+AH24+AH29+SUM(AH43:AH44),5)</f>
        <v>90065.24</v>
      </c>
      <c r="AI45" s="211"/>
      <c r="AJ45" s="210">
        <f>ROUND(AJ5+AJ11+AJ19+AJ24+AJ29+SUM(AJ43:AJ44),5)</f>
        <v>43930.16</v>
      </c>
      <c r="AK45" s="211"/>
      <c r="AL45" s="210">
        <f>ROUND(AL5+AL11+AL19+AL24+AL29+SUM(AL43:AL44),5)</f>
        <v>33338.58</v>
      </c>
      <c r="AM45" s="211"/>
      <c r="AN45" s="210">
        <f>ROUND(AN5+AN11+AN19+AN24+AN29+SUM(AN43:AN44),5)</f>
        <v>43724.15</v>
      </c>
      <c r="AO45" s="211"/>
      <c r="AP45" s="210">
        <f>ROUND(AP5+AP11+AP19+AP24+AP29+SUM(AP43:AP44),5)</f>
        <v>56096.71</v>
      </c>
      <c r="AQ45" s="211"/>
      <c r="AR45" s="210">
        <f>ROUND(AR5+AR11+AR19+AR24+AR29+SUM(AR43:AR44),5)</f>
        <v>57288.62</v>
      </c>
      <c r="AS45" s="211"/>
      <c r="AT45" s="210">
        <f>ROUND(AT5+AT11+AT19+AT24+AT29+SUM(AT43:AT44),5)</f>
        <v>67956.28</v>
      </c>
      <c r="AU45" s="211"/>
      <c r="AV45" s="210">
        <f>ROUND(AV5+AV11+AV19+AV24+AV29+SUM(AV43:AV44),5)</f>
        <v>41202.57</v>
      </c>
      <c r="AW45" s="211"/>
      <c r="AX45" s="210">
        <f>ROUND(AX5+AX11+AX19+AX24+AX29+SUM(AX43:AX44),5)</f>
        <v>34987.949999999997</v>
      </c>
      <c r="AY45" s="211"/>
      <c r="AZ45" s="210">
        <f t="shared" si="1"/>
        <v>1076963.56</v>
      </c>
    </row>
    <row r="46" spans="1:52">
      <c r="A46" s="209"/>
      <c r="B46" s="209"/>
      <c r="C46" s="209"/>
      <c r="D46" s="209"/>
      <c r="E46" s="209" t="s">
        <v>79</v>
      </c>
      <c r="F46" s="209"/>
      <c r="G46" s="209"/>
      <c r="H46" s="210">
        <v>19.489999999999998</v>
      </c>
      <c r="I46" s="211"/>
      <c r="J46" s="210">
        <v>0</v>
      </c>
      <c r="K46" s="211"/>
      <c r="L46" s="210">
        <v>59.52</v>
      </c>
      <c r="M46" s="211"/>
      <c r="N46" s="210">
        <v>1667.81</v>
      </c>
      <c r="O46" s="211"/>
      <c r="P46" s="210">
        <v>0</v>
      </c>
      <c r="Q46" s="211"/>
      <c r="R46" s="210">
        <v>0</v>
      </c>
      <c r="S46" s="211"/>
      <c r="T46" s="210">
        <v>0</v>
      </c>
      <c r="U46" s="211"/>
      <c r="V46" s="210">
        <v>0</v>
      </c>
      <c r="W46" s="211"/>
      <c r="X46" s="210">
        <v>0</v>
      </c>
      <c r="Y46" s="211"/>
      <c r="Z46" s="210">
        <v>29.18</v>
      </c>
      <c r="AA46" s="211"/>
      <c r="AB46" s="210">
        <v>611.41</v>
      </c>
      <c r="AC46" s="211"/>
      <c r="AD46" s="210">
        <v>0</v>
      </c>
      <c r="AE46" s="211"/>
      <c r="AF46" s="210">
        <v>0</v>
      </c>
      <c r="AG46" s="211"/>
      <c r="AH46" s="210">
        <v>0</v>
      </c>
      <c r="AI46" s="211"/>
      <c r="AJ46" s="210">
        <v>0</v>
      </c>
      <c r="AK46" s="211"/>
      <c r="AL46" s="210">
        <v>0</v>
      </c>
      <c r="AM46" s="211"/>
      <c r="AN46" s="210">
        <v>0</v>
      </c>
      <c r="AO46" s="211"/>
      <c r="AP46" s="210">
        <v>0</v>
      </c>
      <c r="AQ46" s="211"/>
      <c r="AR46" s="210">
        <v>0</v>
      </c>
      <c r="AS46" s="211"/>
      <c r="AT46" s="210">
        <v>0</v>
      </c>
      <c r="AU46" s="211"/>
      <c r="AV46" s="210">
        <v>0</v>
      </c>
      <c r="AW46" s="211"/>
      <c r="AX46" s="210">
        <v>0</v>
      </c>
      <c r="AY46" s="211"/>
      <c r="AZ46" s="210">
        <f t="shared" si="1"/>
        <v>2387.41</v>
      </c>
    </row>
    <row r="47" spans="1:52">
      <c r="A47" s="209"/>
      <c r="B47" s="209"/>
      <c r="C47" s="209"/>
      <c r="D47" s="209"/>
      <c r="E47" s="209" t="s">
        <v>332</v>
      </c>
      <c r="F47" s="209"/>
      <c r="G47" s="209"/>
      <c r="H47" s="210">
        <v>1813.13</v>
      </c>
      <c r="I47" s="211"/>
      <c r="J47" s="210">
        <v>1709.59</v>
      </c>
      <c r="K47" s="211"/>
      <c r="L47" s="210">
        <v>1747.8</v>
      </c>
      <c r="M47" s="211"/>
      <c r="N47" s="210">
        <v>11209.38</v>
      </c>
      <c r="O47" s="211"/>
      <c r="P47" s="210">
        <v>18018.07</v>
      </c>
      <c r="Q47" s="211"/>
      <c r="R47" s="210">
        <v>7572.65</v>
      </c>
      <c r="S47" s="211"/>
      <c r="T47" s="210">
        <v>6985.89</v>
      </c>
      <c r="U47" s="211"/>
      <c r="V47" s="210">
        <v>8219.81</v>
      </c>
      <c r="W47" s="211"/>
      <c r="X47" s="210">
        <v>3057.17</v>
      </c>
      <c r="Y47" s="211"/>
      <c r="Z47" s="210">
        <v>5593.2</v>
      </c>
      <c r="AA47" s="211"/>
      <c r="AB47" s="210">
        <v>2861.38</v>
      </c>
      <c r="AC47" s="211"/>
      <c r="AD47" s="210">
        <v>2191.5</v>
      </c>
      <c r="AE47" s="211"/>
      <c r="AF47" s="210">
        <v>4212.24</v>
      </c>
      <c r="AG47" s="211"/>
      <c r="AH47" s="210">
        <v>12061.08</v>
      </c>
      <c r="AI47" s="211"/>
      <c r="AJ47" s="210">
        <v>4149.3500000000004</v>
      </c>
      <c r="AK47" s="211"/>
      <c r="AL47" s="210">
        <v>14274.48</v>
      </c>
      <c r="AM47" s="211"/>
      <c r="AN47" s="210">
        <v>10799.16</v>
      </c>
      <c r="AO47" s="211"/>
      <c r="AP47" s="210">
        <v>2487.42</v>
      </c>
      <c r="AQ47" s="211"/>
      <c r="AR47" s="210">
        <v>2708.33</v>
      </c>
      <c r="AS47" s="211"/>
      <c r="AT47" s="210">
        <v>2786.92</v>
      </c>
      <c r="AU47" s="211"/>
      <c r="AV47" s="210">
        <v>2788.01</v>
      </c>
      <c r="AW47" s="211"/>
      <c r="AX47" s="210">
        <v>4032.2</v>
      </c>
      <c r="AY47" s="211"/>
      <c r="AZ47" s="210">
        <f t="shared" si="1"/>
        <v>131278.76</v>
      </c>
    </row>
    <row r="48" spans="1:52">
      <c r="A48" s="209"/>
      <c r="B48" s="209"/>
      <c r="C48" s="209"/>
      <c r="D48" s="209"/>
      <c r="E48" s="209" t="s">
        <v>333</v>
      </c>
      <c r="F48" s="209"/>
      <c r="G48" s="209"/>
      <c r="H48" s="210">
        <v>0</v>
      </c>
      <c r="I48" s="211"/>
      <c r="J48" s="210">
        <v>0</v>
      </c>
      <c r="K48" s="211"/>
      <c r="L48" s="210">
        <v>0</v>
      </c>
      <c r="M48" s="211"/>
      <c r="N48" s="210">
        <v>0</v>
      </c>
      <c r="O48" s="211"/>
      <c r="P48" s="210">
        <v>0</v>
      </c>
      <c r="Q48" s="211"/>
      <c r="R48" s="210">
        <v>0</v>
      </c>
      <c r="S48" s="211"/>
      <c r="T48" s="210">
        <v>0</v>
      </c>
      <c r="U48" s="211"/>
      <c r="V48" s="210">
        <v>0</v>
      </c>
      <c r="W48" s="211"/>
      <c r="X48" s="210">
        <v>0</v>
      </c>
      <c r="Y48" s="211"/>
      <c r="Z48" s="210">
        <v>0</v>
      </c>
      <c r="AA48" s="211"/>
      <c r="AB48" s="210">
        <v>0</v>
      </c>
      <c r="AC48" s="211"/>
      <c r="AD48" s="210">
        <v>37.03</v>
      </c>
      <c r="AE48" s="211"/>
      <c r="AF48" s="210">
        <v>0</v>
      </c>
      <c r="AG48" s="211"/>
      <c r="AH48" s="210">
        <v>0</v>
      </c>
      <c r="AI48" s="211"/>
      <c r="AJ48" s="210">
        <v>0</v>
      </c>
      <c r="AK48" s="211"/>
      <c r="AL48" s="210">
        <v>-9.5399999999999991</v>
      </c>
      <c r="AM48" s="211"/>
      <c r="AN48" s="210">
        <v>0</v>
      </c>
      <c r="AO48" s="211"/>
      <c r="AP48" s="210">
        <v>0</v>
      </c>
      <c r="AQ48" s="211"/>
      <c r="AR48" s="210">
        <v>0</v>
      </c>
      <c r="AS48" s="211"/>
      <c r="AT48" s="210">
        <v>0</v>
      </c>
      <c r="AU48" s="211"/>
      <c r="AV48" s="210">
        <v>0</v>
      </c>
      <c r="AW48" s="211"/>
      <c r="AX48" s="210">
        <v>0</v>
      </c>
      <c r="AY48" s="211"/>
      <c r="AZ48" s="210">
        <f t="shared" si="1"/>
        <v>27.49</v>
      </c>
    </row>
    <row r="49" spans="1:52" ht="15" thickBot="1">
      <c r="A49" s="209"/>
      <c r="B49" s="209"/>
      <c r="C49" s="209"/>
      <c r="D49" s="209"/>
      <c r="E49" s="209" t="s">
        <v>334</v>
      </c>
      <c r="F49" s="209"/>
      <c r="G49" s="209"/>
      <c r="H49" s="214">
        <v>0</v>
      </c>
      <c r="I49" s="211"/>
      <c r="J49" s="214">
        <v>0</v>
      </c>
      <c r="K49" s="211"/>
      <c r="L49" s="214">
        <v>0</v>
      </c>
      <c r="M49" s="211"/>
      <c r="N49" s="214">
        <v>0</v>
      </c>
      <c r="O49" s="211"/>
      <c r="P49" s="214">
        <v>0</v>
      </c>
      <c r="Q49" s="211"/>
      <c r="R49" s="214">
        <v>0</v>
      </c>
      <c r="S49" s="211"/>
      <c r="T49" s="214">
        <v>0</v>
      </c>
      <c r="U49" s="211"/>
      <c r="V49" s="214">
        <v>0</v>
      </c>
      <c r="W49" s="211"/>
      <c r="X49" s="214">
        <v>0</v>
      </c>
      <c r="Y49" s="211"/>
      <c r="Z49" s="214">
        <v>0</v>
      </c>
      <c r="AA49" s="211"/>
      <c r="AB49" s="214">
        <v>0</v>
      </c>
      <c r="AC49" s="211"/>
      <c r="AD49" s="214">
        <v>0</v>
      </c>
      <c r="AE49" s="211"/>
      <c r="AF49" s="214">
        <v>0</v>
      </c>
      <c r="AG49" s="211"/>
      <c r="AH49" s="214">
        <v>0</v>
      </c>
      <c r="AI49" s="211"/>
      <c r="AJ49" s="214">
        <v>0</v>
      </c>
      <c r="AK49" s="211"/>
      <c r="AL49" s="214">
        <v>0</v>
      </c>
      <c r="AM49" s="211"/>
      <c r="AN49" s="214">
        <v>0</v>
      </c>
      <c r="AO49" s="211"/>
      <c r="AP49" s="214">
        <v>0</v>
      </c>
      <c r="AQ49" s="211"/>
      <c r="AR49" s="214">
        <v>0</v>
      </c>
      <c r="AS49" s="211"/>
      <c r="AT49" s="214">
        <v>0</v>
      </c>
      <c r="AU49" s="211"/>
      <c r="AV49" s="214">
        <v>0</v>
      </c>
      <c r="AW49" s="211"/>
      <c r="AX49" s="214">
        <v>0</v>
      </c>
      <c r="AY49" s="211"/>
      <c r="AZ49" s="214">
        <f t="shared" si="1"/>
        <v>0</v>
      </c>
    </row>
    <row r="50" spans="1:52">
      <c r="A50" s="209"/>
      <c r="B50" s="209"/>
      <c r="C50" s="209"/>
      <c r="D50" s="209" t="s">
        <v>214</v>
      </c>
      <c r="E50" s="209"/>
      <c r="F50" s="209"/>
      <c r="G50" s="209"/>
      <c r="H50" s="215">
        <f>ROUND(SUM(H3:H4)+SUM(H45:H49),5)</f>
        <v>11129.44</v>
      </c>
      <c r="I50" s="211"/>
      <c r="J50" s="215">
        <f>ROUND(SUM(J3:J4)+SUM(J45:J49),5)</f>
        <v>10002.43</v>
      </c>
      <c r="K50" s="211"/>
      <c r="L50" s="215">
        <f>ROUND(SUM(L3:L4)+SUM(L45:L49),5)</f>
        <v>8800.93</v>
      </c>
      <c r="M50" s="211"/>
      <c r="N50" s="215">
        <f>ROUND(SUM(N3:N4)+SUM(N45:N49),5)</f>
        <v>29038.58</v>
      </c>
      <c r="O50" s="211"/>
      <c r="P50" s="215">
        <f>ROUND(SUM(P3:P4)+SUM(P45:P49),5)</f>
        <v>36684.28</v>
      </c>
      <c r="Q50" s="211"/>
      <c r="R50" s="215">
        <f>ROUND(SUM(R3:R4)+SUM(R45:R49),5)</f>
        <v>22241.34</v>
      </c>
      <c r="S50" s="211"/>
      <c r="T50" s="215">
        <f>ROUND(SUM(T3:T4)+SUM(T45:T49),5)</f>
        <v>27353.53</v>
      </c>
      <c r="U50" s="211"/>
      <c r="V50" s="215">
        <f>ROUND(SUM(V3:V4)+SUM(V45:V49),5)</f>
        <v>33160.44</v>
      </c>
      <c r="W50" s="211"/>
      <c r="X50" s="215">
        <f>ROUND(SUM(X3:X4)+SUM(X45:X49),5)</f>
        <v>52936.63</v>
      </c>
      <c r="Y50" s="211"/>
      <c r="Z50" s="215">
        <f>ROUND(SUM(Z3:Z4)+SUM(Z45:Z49),5)</f>
        <v>43269.16</v>
      </c>
      <c r="AA50" s="211"/>
      <c r="AB50" s="215">
        <f>ROUND(SUM(AB3:AB4)+SUM(AB45:AB49),5)</f>
        <v>49202.95</v>
      </c>
      <c r="AC50" s="211"/>
      <c r="AD50" s="215">
        <f>ROUND(SUM(AD3:AD4)+SUM(AD45:AD49),5)</f>
        <v>274778.86</v>
      </c>
      <c r="AE50" s="211"/>
      <c r="AF50" s="215">
        <f>ROUND(SUM(AF3:AF4)+SUM(AF45:AF49),5)</f>
        <v>87390.98</v>
      </c>
      <c r="AG50" s="211"/>
      <c r="AH50" s="215">
        <f>ROUND(SUM(AH3:AH4)+SUM(AH45:AH49),5)</f>
        <v>102126.32</v>
      </c>
      <c r="AI50" s="211"/>
      <c r="AJ50" s="215">
        <f>ROUND(SUM(AJ3:AJ4)+SUM(AJ45:AJ49),5)</f>
        <v>48079.51</v>
      </c>
      <c r="AK50" s="211"/>
      <c r="AL50" s="215">
        <f>ROUND(SUM(AL3:AL4)+SUM(AL45:AL49),5)</f>
        <v>47627.61</v>
      </c>
      <c r="AM50" s="211"/>
      <c r="AN50" s="215">
        <f>ROUND(SUM(AN3:AN4)+SUM(AN45:AN49),5)</f>
        <v>54499.21</v>
      </c>
      <c r="AO50" s="211"/>
      <c r="AP50" s="215">
        <f>ROUND(SUM(AP3:AP4)+SUM(AP45:AP49),5)</f>
        <v>58584.13</v>
      </c>
      <c r="AQ50" s="211"/>
      <c r="AR50" s="215">
        <f>ROUND(SUM(AR3:AR4)+SUM(AR45:AR49),5)</f>
        <v>59996.95</v>
      </c>
      <c r="AS50" s="211"/>
      <c r="AT50" s="215">
        <f>ROUND(SUM(AT3:AT4)+SUM(AT45:AT49),5)</f>
        <v>70743.199999999997</v>
      </c>
      <c r="AU50" s="211"/>
      <c r="AV50" s="215">
        <f>ROUND(SUM(AV3:AV4)+SUM(AV45:AV49),5)</f>
        <v>43990.58</v>
      </c>
      <c r="AW50" s="211"/>
      <c r="AX50" s="215">
        <f>ROUND(SUM(AX3:AX4)+SUM(AX45:AX49),5)</f>
        <v>39020.15</v>
      </c>
      <c r="AY50" s="211"/>
      <c r="AZ50" s="215">
        <f t="shared" si="1"/>
        <v>1210657.21</v>
      </c>
    </row>
  </sheetData>
  <pageMargins left="0.7" right="0.7" top="0.75" bottom="0.75" header="0.1" footer="0.3"/>
  <pageSetup orientation="portrait" horizontalDpi="300" verticalDpi="300"/>
  <headerFooter>
    <oddHeader>&amp;L&amp;"Arial,Bold"&amp;8 11:22 AM
&amp;"Arial,Bold"&amp;8 09/04/15
&amp;"Arial,Bold"&amp;8 Accrual Basis&amp;C&amp;"Arial,Bold"&amp;12 GiveDirectly, Inc.
&amp;"Arial,Bold"&amp;14 Profit &amp;&amp; Loss
&amp;"Arial,Bold"&amp;10 September 2013 through June 2015</oddHeader>
    <oddFooter>&amp;R&amp;"Arial,Bold"&amp;8 Page &amp;P of &amp;N</oddFooter>
  </headerFooter>
  <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K36"/>
  <sheetViews>
    <sheetView workbookViewId="0">
      <pane xSplit="1" ySplit="4" topLeftCell="B5" activePane="bottomRight" state="frozen"/>
      <selection pane="topRight" activeCell="B1" sqref="B1"/>
      <selection pane="bottomLeft" activeCell="A3" sqref="A3"/>
      <selection pane="bottomRight" activeCell="L52" sqref="L52"/>
    </sheetView>
  </sheetViews>
  <sheetFormatPr baseColWidth="10" defaultColWidth="14.5" defaultRowHeight="14" x14ac:dyDescent="0"/>
  <cols>
    <col min="1" max="1" width="28.5" style="330" customWidth="1"/>
    <col min="2" max="2" width="16" style="330" customWidth="1"/>
    <col min="3" max="13" width="14.33203125" style="330" customWidth="1"/>
    <col min="14" max="16384" width="14.5" style="330"/>
  </cols>
  <sheetData>
    <row r="1" spans="1:37">
      <c r="A1" s="347" t="s">
        <v>590</v>
      </c>
    </row>
    <row r="3" spans="1:37" s="333" customFormat="1" ht="15" thickBot="1">
      <c r="A3" s="331"/>
      <c r="B3" s="331" t="s">
        <v>591</v>
      </c>
      <c r="C3" s="332" t="s">
        <v>592</v>
      </c>
      <c r="D3" s="332" t="s">
        <v>593</v>
      </c>
      <c r="E3" s="332" t="s">
        <v>594</v>
      </c>
      <c r="F3" s="332" t="s">
        <v>595</v>
      </c>
      <c r="G3" s="332" t="s">
        <v>596</v>
      </c>
      <c r="H3" s="332" t="s">
        <v>597</v>
      </c>
      <c r="I3" s="332" t="s">
        <v>598</v>
      </c>
      <c r="J3" s="332" t="s">
        <v>599</v>
      </c>
      <c r="K3" s="332" t="s">
        <v>600</v>
      </c>
      <c r="L3" s="332" t="s">
        <v>601</v>
      </c>
      <c r="M3" s="332" t="s">
        <v>602</v>
      </c>
      <c r="N3" s="332" t="s">
        <v>308</v>
      </c>
      <c r="O3" s="332" t="s">
        <v>309</v>
      </c>
      <c r="P3" s="332" t="s">
        <v>310</v>
      </c>
      <c r="Q3" s="332" t="s">
        <v>311</v>
      </c>
      <c r="R3" s="332" t="s">
        <v>312</v>
      </c>
      <c r="S3" s="332" t="s">
        <v>313</v>
      </c>
      <c r="T3" s="332" t="s">
        <v>314</v>
      </c>
      <c r="U3" s="332" t="s">
        <v>315</v>
      </c>
      <c r="V3" s="332" t="s">
        <v>316</v>
      </c>
      <c r="W3" s="332" t="s">
        <v>317</v>
      </c>
      <c r="X3" s="332" t="s">
        <v>318</v>
      </c>
      <c r="Y3" s="332" t="s">
        <v>319</v>
      </c>
      <c r="Z3" s="332" t="s">
        <v>320</v>
      </c>
      <c r="AA3" s="332" t="s">
        <v>321</v>
      </c>
      <c r="AB3" s="332" t="s">
        <v>322</v>
      </c>
      <c r="AC3" s="332" t="s">
        <v>323</v>
      </c>
      <c r="AD3" s="332" t="s">
        <v>324</v>
      </c>
      <c r="AE3" s="332" t="s">
        <v>325</v>
      </c>
      <c r="AF3" s="332" t="s">
        <v>326</v>
      </c>
      <c r="AG3" s="332" t="s">
        <v>327</v>
      </c>
      <c r="AH3" s="332" t="s">
        <v>328</v>
      </c>
      <c r="AI3" s="332" t="s">
        <v>329</v>
      </c>
      <c r="AK3" s="332" t="s">
        <v>90</v>
      </c>
    </row>
    <row r="4" spans="1:37" s="333" customFormat="1" ht="15" thickTop="1">
      <c r="A4" s="333" t="s">
        <v>603</v>
      </c>
      <c r="B4" s="333" t="s">
        <v>604</v>
      </c>
      <c r="C4" s="333" t="s">
        <v>605</v>
      </c>
      <c r="D4" s="333" t="s">
        <v>605</v>
      </c>
      <c r="E4" s="333" t="s">
        <v>605</v>
      </c>
      <c r="F4" s="333" t="s">
        <v>605</v>
      </c>
      <c r="G4" s="333" t="s">
        <v>605</v>
      </c>
      <c r="H4" s="333" t="s">
        <v>605</v>
      </c>
      <c r="I4" s="333" t="s">
        <v>605</v>
      </c>
      <c r="J4" s="333" t="s">
        <v>605</v>
      </c>
      <c r="K4" s="333" t="s">
        <v>605</v>
      </c>
      <c r="L4" s="333" t="s">
        <v>605</v>
      </c>
      <c r="M4" s="333" t="s">
        <v>605</v>
      </c>
      <c r="N4" s="333" t="s">
        <v>606</v>
      </c>
      <c r="O4" s="333" t="s">
        <v>606</v>
      </c>
      <c r="P4" s="333" t="s">
        <v>606</v>
      </c>
      <c r="Q4" s="333" t="s">
        <v>606</v>
      </c>
      <c r="R4" s="333" t="s">
        <v>606</v>
      </c>
      <c r="S4" s="333" t="s">
        <v>606</v>
      </c>
      <c r="T4" s="333" t="s">
        <v>606</v>
      </c>
      <c r="U4" s="333" t="s">
        <v>606</v>
      </c>
      <c r="V4" s="333" t="s">
        <v>606</v>
      </c>
      <c r="W4" s="333" t="s">
        <v>606</v>
      </c>
      <c r="X4" s="333" t="s">
        <v>606</v>
      </c>
      <c r="Y4" s="333" t="s">
        <v>606</v>
      </c>
      <c r="Z4" s="333" t="s">
        <v>607</v>
      </c>
      <c r="AA4" s="333" t="s">
        <v>608</v>
      </c>
      <c r="AB4" s="333" t="s">
        <v>608</v>
      </c>
      <c r="AC4" s="333" t="s">
        <v>608</v>
      </c>
      <c r="AD4" s="333" t="s">
        <v>608</v>
      </c>
      <c r="AE4" s="333" t="s">
        <v>608</v>
      </c>
      <c r="AF4" s="333" t="s">
        <v>609</v>
      </c>
      <c r="AG4" s="333" t="s">
        <v>609</v>
      </c>
      <c r="AH4" s="333" t="s">
        <v>609</v>
      </c>
      <c r="AI4" s="333" t="s">
        <v>609</v>
      </c>
    </row>
    <row r="5" spans="1:37" s="333" customFormat="1">
      <c r="A5" s="334" t="s">
        <v>335</v>
      </c>
      <c r="B5" s="335">
        <f>'2014 -Total expenses'!C21</f>
        <v>333994</v>
      </c>
      <c r="C5" s="347">
        <f>'2014 -Total expenses'!$D$21/12</f>
        <v>88421.477657516647</v>
      </c>
      <c r="D5" s="347">
        <f>'2014 -Total expenses'!$D$21/12</f>
        <v>88421.477657516647</v>
      </c>
      <c r="E5" s="347">
        <f>'2014 -Total expenses'!$D$21/12</f>
        <v>88421.477657516647</v>
      </c>
      <c r="F5" s="347">
        <f>'2014 -Total expenses'!$D$21/12</f>
        <v>88421.477657516647</v>
      </c>
      <c r="G5" s="347">
        <f>'2014 -Total expenses'!$D$21/12</f>
        <v>88421.477657516647</v>
      </c>
      <c r="H5" s="347">
        <f>'2014 -Total expenses'!$D$21/12</f>
        <v>88421.477657516647</v>
      </c>
      <c r="I5" s="347">
        <f>'2014 -Total expenses'!$D$21/12</f>
        <v>88421.477657516647</v>
      </c>
      <c r="J5" s="347">
        <f>'2014 -Total expenses'!$D$21/12</f>
        <v>88421.477657516647</v>
      </c>
      <c r="K5" s="347">
        <f>'2014 -Total expenses'!$D$21/12</f>
        <v>88421.477657516647</v>
      </c>
      <c r="L5" s="347">
        <f>'2014 -Total expenses'!$D$21/12</f>
        <v>88421.477657516647</v>
      </c>
      <c r="M5" s="347">
        <f>'2014 -Total expenses'!$D$21/12</f>
        <v>88421.477657516647</v>
      </c>
      <c r="N5" s="334">
        <v>330064.48</v>
      </c>
      <c r="O5" s="334">
        <v>249298.41</v>
      </c>
      <c r="P5" s="334">
        <v>132725.44</v>
      </c>
      <c r="Q5" s="334">
        <v>964298.95</v>
      </c>
      <c r="R5" s="334">
        <v>157202.63</v>
      </c>
      <c r="S5" s="334">
        <v>116250.14</v>
      </c>
      <c r="T5" s="334">
        <v>606947.47</v>
      </c>
      <c r="U5" s="334">
        <v>127355.65</v>
      </c>
      <c r="V5" s="334">
        <v>176960.47</v>
      </c>
      <c r="W5" s="334">
        <v>978322.49</v>
      </c>
      <c r="X5" s="334">
        <v>617626.49</v>
      </c>
      <c r="Y5" s="334">
        <v>425357.89</v>
      </c>
      <c r="Z5" s="334">
        <v>939672.08</v>
      </c>
      <c r="AA5" s="334">
        <v>545562.6</v>
      </c>
      <c r="AB5" s="334">
        <v>545289.93000000005</v>
      </c>
      <c r="AC5" s="334">
        <v>576287.41</v>
      </c>
      <c r="AD5" s="334">
        <v>976403.14</v>
      </c>
      <c r="AE5" s="334">
        <v>1031904.39</v>
      </c>
      <c r="AF5" s="334">
        <v>817007.03</v>
      </c>
      <c r="AG5" s="334">
        <v>937328.3</v>
      </c>
      <c r="AH5" s="334">
        <v>1113057.8400000001</v>
      </c>
      <c r="AI5" s="334">
        <v>1008958.2</v>
      </c>
      <c r="AK5" s="334">
        <f>ROUND(SUM(N5:AI5),5)</f>
        <v>13373881.43</v>
      </c>
    </row>
    <row r="6" spans="1:37" s="333" customFormat="1">
      <c r="A6" s="334" t="s">
        <v>336</v>
      </c>
      <c r="B6" s="335">
        <f>'[1]2014 -Total expenses'!C21</f>
        <v>333994</v>
      </c>
      <c r="C6" s="347">
        <f>1061058/12</f>
        <v>88421.5</v>
      </c>
      <c r="D6" s="347">
        <f t="shared" ref="D6:M6" si="0">1061058/12</f>
        <v>88421.5</v>
      </c>
      <c r="E6" s="347">
        <f t="shared" si="0"/>
        <v>88421.5</v>
      </c>
      <c r="F6" s="347">
        <f t="shared" si="0"/>
        <v>88421.5</v>
      </c>
      <c r="G6" s="347">
        <f t="shared" si="0"/>
        <v>88421.5</v>
      </c>
      <c r="H6" s="347">
        <f t="shared" si="0"/>
        <v>88421.5</v>
      </c>
      <c r="I6" s="347">
        <f t="shared" si="0"/>
        <v>88421.5</v>
      </c>
      <c r="J6" s="347">
        <f t="shared" si="0"/>
        <v>88421.5</v>
      </c>
      <c r="K6" s="347">
        <f t="shared" si="0"/>
        <v>88421.5</v>
      </c>
      <c r="L6" s="347">
        <f t="shared" si="0"/>
        <v>88421.5</v>
      </c>
      <c r="M6" s="347">
        <f t="shared" si="0"/>
        <v>88421.5</v>
      </c>
      <c r="N6" s="336">
        <v>-11922.36</v>
      </c>
      <c r="O6" s="336">
        <v>2076957.12</v>
      </c>
      <c r="P6" s="336">
        <v>5318.58</v>
      </c>
      <c r="Q6" s="336">
        <v>0</v>
      </c>
      <c r="R6" s="336">
        <v>1157788</v>
      </c>
      <c r="S6" s="336">
        <v>0</v>
      </c>
      <c r="T6" s="336">
        <v>0</v>
      </c>
      <c r="U6" s="336">
        <v>64084.26</v>
      </c>
      <c r="V6" s="336">
        <v>957087</v>
      </c>
      <c r="W6" s="336">
        <v>855871.83</v>
      </c>
      <c r="X6" s="336">
        <v>948160.8</v>
      </c>
      <c r="Y6" s="336">
        <v>678698.88</v>
      </c>
      <c r="Z6" s="336">
        <v>2768281.84</v>
      </c>
      <c r="AA6" s="336">
        <v>0</v>
      </c>
      <c r="AB6" s="336">
        <v>1800649.96</v>
      </c>
      <c r="AC6" s="336">
        <v>915229.9</v>
      </c>
      <c r="AD6" s="336">
        <v>400740.68</v>
      </c>
      <c r="AE6" s="336">
        <v>889649.18</v>
      </c>
      <c r="AF6" s="336">
        <v>1102867.21</v>
      </c>
      <c r="AG6" s="336">
        <v>1021814.61</v>
      </c>
      <c r="AH6" s="336">
        <v>919208.31</v>
      </c>
      <c r="AI6" s="336">
        <v>2312472.35</v>
      </c>
      <c r="AK6" s="336">
        <f>ROUND(SUM(N6:AI6),5)</f>
        <v>18862958.149999999</v>
      </c>
    </row>
    <row r="7" spans="1:37" s="333" customFormat="1">
      <c r="A7" s="333" t="s">
        <v>610</v>
      </c>
      <c r="B7" s="333">
        <f>SUM($B5:B5)</f>
        <v>333994</v>
      </c>
      <c r="C7" s="333">
        <f>SUM($B5:C5)</f>
        <v>422415.47765751666</v>
      </c>
      <c r="D7" s="333">
        <f>SUM($B5:D5)</f>
        <v>510836.95531503332</v>
      </c>
      <c r="E7" s="333">
        <f>SUM($B5:E5)</f>
        <v>599258.43297254993</v>
      </c>
      <c r="F7" s="333">
        <f>SUM($B5:F5)</f>
        <v>687679.91063006653</v>
      </c>
      <c r="G7" s="333">
        <f>SUM($B5:G5)</f>
        <v>776101.38828758313</v>
      </c>
      <c r="H7" s="333">
        <f>SUM($B5:H5)</f>
        <v>864522.86594509974</v>
      </c>
      <c r="I7" s="333">
        <f>SUM($B5:I5)</f>
        <v>952944.34360261634</v>
      </c>
      <c r="J7" s="333">
        <f>SUM($B5:J5)</f>
        <v>1041365.8212601329</v>
      </c>
      <c r="K7" s="333">
        <f>SUM($B5:K5)</f>
        <v>1129787.2989176495</v>
      </c>
      <c r="L7" s="333">
        <f>SUM($B5:L5)</f>
        <v>1218208.7765751663</v>
      </c>
      <c r="M7" s="333">
        <f>SUM($B5:M5)</f>
        <v>1306630.254232683</v>
      </c>
      <c r="N7" s="333">
        <f>SUM($B5:N5)</f>
        <v>1636694.734232683</v>
      </c>
      <c r="O7" s="333">
        <f>SUM($B5:O5)</f>
        <v>1885993.1442326829</v>
      </c>
      <c r="P7" s="333">
        <f>SUM($B5:P5)</f>
        <v>2018718.5842326828</v>
      </c>
      <c r="Q7" s="333">
        <f>SUM($B5:Q5)</f>
        <v>2983017.5342326825</v>
      </c>
      <c r="R7" s="333">
        <f>SUM($B5:R5)</f>
        <v>3140220.1642326824</v>
      </c>
      <c r="S7" s="333">
        <f>SUM($B5:S5)</f>
        <v>3256470.3042326826</v>
      </c>
      <c r="T7" s="333">
        <f>SUM($B5:T5)</f>
        <v>3863417.7742326828</v>
      </c>
      <c r="U7" s="333">
        <f>SUM($B5:U5)</f>
        <v>3990773.4242326827</v>
      </c>
      <c r="V7" s="333">
        <f>SUM($B5:V5)</f>
        <v>4167733.8942326829</v>
      </c>
      <c r="W7" s="333">
        <f>SUM($B5:W5)</f>
        <v>5146056.3842326831</v>
      </c>
      <c r="X7" s="333">
        <f>SUM($B5:X5)</f>
        <v>5763682.8742326833</v>
      </c>
      <c r="Y7" s="333">
        <f>SUM($B5:Y5)</f>
        <v>6189040.764232683</v>
      </c>
      <c r="Z7" s="333">
        <f>SUM($B5:Z5)</f>
        <v>7128712.8442326831</v>
      </c>
      <c r="AA7" s="333">
        <f>SUM($B5:AA5)</f>
        <v>7674275.4442326827</v>
      </c>
      <c r="AB7" s="333">
        <f>SUM($B5:AB5)</f>
        <v>8219565.3742326824</v>
      </c>
      <c r="AC7" s="333">
        <f>SUM($B5:AC5)</f>
        <v>8795852.7842326816</v>
      </c>
      <c r="AD7" s="333">
        <f>SUM($B5:AD5)</f>
        <v>9772255.9242326822</v>
      </c>
      <c r="AE7" s="333">
        <f>SUM($B5:AE5)</f>
        <v>10804160.314232683</v>
      </c>
      <c r="AF7" s="333">
        <f>SUM($B5:AF5)</f>
        <v>11621167.344232682</v>
      </c>
      <c r="AG7" s="333">
        <f>SUM($B5:AG5)</f>
        <v>12558495.644232683</v>
      </c>
      <c r="AH7" s="333">
        <f>SUM($B5:AH5)</f>
        <v>13671553.484232683</v>
      </c>
      <c r="AI7" s="333">
        <f>SUM($B5:AI5)</f>
        <v>14680511.684232682</v>
      </c>
    </row>
    <row r="8" spans="1:37" s="333" customFormat="1">
      <c r="A8" s="333" t="s">
        <v>611</v>
      </c>
      <c r="B8" s="333">
        <f>SUM($B6:B6)</f>
        <v>333994</v>
      </c>
      <c r="C8" s="333">
        <f>SUM($B6:C6)</f>
        <v>422415.5</v>
      </c>
      <c r="D8" s="333">
        <f>SUM($B6:D6)</f>
        <v>510837</v>
      </c>
      <c r="E8" s="333">
        <f>SUM($B6:E6)</f>
        <v>599258.5</v>
      </c>
      <c r="F8" s="333">
        <f>SUM($B6:F6)</f>
        <v>687680</v>
      </c>
      <c r="G8" s="333">
        <f>SUM($B6:G6)</f>
        <v>776101.5</v>
      </c>
      <c r="H8" s="333">
        <f>SUM($B6:H6)</f>
        <v>864523</v>
      </c>
      <c r="I8" s="333">
        <f>SUM($B6:I6)</f>
        <v>952944.5</v>
      </c>
      <c r="J8" s="333">
        <f>SUM($B6:J6)</f>
        <v>1041366</v>
      </c>
      <c r="K8" s="333">
        <f>SUM($B6:K6)</f>
        <v>1129787.5</v>
      </c>
      <c r="L8" s="333">
        <f>SUM($B6:L6)</f>
        <v>1218209</v>
      </c>
      <c r="M8" s="333">
        <f>SUM($B6:M6)</f>
        <v>1306630.5</v>
      </c>
      <c r="N8" s="333">
        <f>SUM($B6:N6)</f>
        <v>1294708.1399999999</v>
      </c>
      <c r="O8" s="333">
        <f>SUM($B6:O6)</f>
        <v>3371665.26</v>
      </c>
      <c r="P8" s="333">
        <f>SUM($B6:P6)</f>
        <v>3376983.84</v>
      </c>
      <c r="Q8" s="333">
        <f>SUM($B6:Q6)</f>
        <v>3376983.84</v>
      </c>
      <c r="R8" s="333">
        <f>SUM($B6:R6)</f>
        <v>4534771.84</v>
      </c>
      <c r="S8" s="333">
        <f>SUM($B6:S6)</f>
        <v>4534771.84</v>
      </c>
      <c r="T8" s="333">
        <f>SUM($B6:T6)</f>
        <v>4534771.84</v>
      </c>
      <c r="U8" s="333">
        <f>SUM($B6:U6)</f>
        <v>4598856.0999999996</v>
      </c>
      <c r="V8" s="333">
        <f>SUM($B6:V6)</f>
        <v>5555943.0999999996</v>
      </c>
      <c r="W8" s="333">
        <f>SUM($B6:W6)</f>
        <v>6411814.9299999997</v>
      </c>
      <c r="X8" s="333">
        <f>SUM($B6:X6)</f>
        <v>7359975.7299999995</v>
      </c>
      <c r="Y8" s="333">
        <f>SUM($B6:Y6)</f>
        <v>8038674.6099999994</v>
      </c>
      <c r="Z8" s="333">
        <f>SUM($B6:Z6)</f>
        <v>10806956.449999999</v>
      </c>
      <c r="AA8" s="333">
        <f>SUM($B6:AA6)</f>
        <v>10806956.449999999</v>
      </c>
      <c r="AB8" s="333">
        <f>SUM($B6:AB6)</f>
        <v>12607606.41</v>
      </c>
      <c r="AC8" s="333">
        <f>SUM($B6:AC6)</f>
        <v>13522836.310000001</v>
      </c>
      <c r="AD8" s="333">
        <f>SUM($B6:AD6)</f>
        <v>13923576.99</v>
      </c>
      <c r="AE8" s="333">
        <f>SUM($B6:AE6)</f>
        <v>14813226.17</v>
      </c>
      <c r="AF8" s="333">
        <f>SUM($B6:AF6)</f>
        <v>15916093.379999999</v>
      </c>
      <c r="AG8" s="333">
        <f>SUM($B6:AG6)</f>
        <v>16937907.989999998</v>
      </c>
      <c r="AH8" s="333">
        <f>SUM($B6:AH6)</f>
        <v>17857116.299999997</v>
      </c>
      <c r="AI8" s="333">
        <f>SUM($B6:AI6)</f>
        <v>20169588.649999999</v>
      </c>
    </row>
    <row r="9" spans="1:37" s="339" customFormat="1" ht="11">
      <c r="A9" s="337" t="s">
        <v>612</v>
      </c>
      <c r="B9" s="338" t="s">
        <v>634</v>
      </c>
      <c r="C9" s="339" t="s">
        <v>635</v>
      </c>
      <c r="D9" s="340"/>
      <c r="E9" s="340"/>
      <c r="F9" s="340"/>
      <c r="G9" s="340"/>
      <c r="H9" s="340"/>
      <c r="I9" s="340"/>
      <c r="J9" s="340"/>
      <c r="K9" s="340"/>
      <c r="L9" s="340"/>
      <c r="M9" s="340"/>
      <c r="N9" s="338" t="s">
        <v>636</v>
      </c>
    </row>
    <row r="10" spans="1:37">
      <c r="A10" s="341"/>
      <c r="B10" s="342"/>
      <c r="D10" s="341"/>
      <c r="E10" s="341"/>
      <c r="F10" s="341"/>
      <c r="G10" s="341"/>
      <c r="H10" s="341"/>
      <c r="I10" s="341"/>
      <c r="J10" s="341"/>
      <c r="K10" s="341"/>
      <c r="L10" s="341"/>
      <c r="M10" s="341"/>
      <c r="N10" s="342"/>
    </row>
    <row r="11" spans="1:37">
      <c r="A11" s="330" t="s">
        <v>613</v>
      </c>
      <c r="B11" s="330">
        <f>SUM('[1]2014 -Total expenses'!C34:C40)</f>
        <v>70200</v>
      </c>
      <c r="M11" s="330">
        <f>SUM('[1]2014 -Total expenses'!D34:D40)</f>
        <v>368341.58417006512</v>
      </c>
      <c r="AA11" s="330">
        <f>SUM('[1]2014 -Total expenses'!E34:E40)</f>
        <v>1117078.4192552799</v>
      </c>
      <c r="AC11" s="330">
        <v>2000000</v>
      </c>
      <c r="AF11" s="330">
        <v>400000</v>
      </c>
      <c r="AI11" s="330">
        <f>SUM('2015-Total spend + efficiency'!L16:L22)-'2015-Rate of money moved'!AA11</f>
        <v>2408530.2407447202</v>
      </c>
    </row>
    <row r="12" spans="1:37">
      <c r="A12" s="330" t="s">
        <v>614</v>
      </c>
      <c r="B12" s="330">
        <f>B11</f>
        <v>70200</v>
      </c>
      <c r="C12" s="348">
        <f t="shared" ref="C12:M12" si="1">$M$11/12</f>
        <v>30695.132014172093</v>
      </c>
      <c r="D12" s="348">
        <f t="shared" si="1"/>
        <v>30695.132014172093</v>
      </c>
      <c r="E12" s="348">
        <f t="shared" si="1"/>
        <v>30695.132014172093</v>
      </c>
      <c r="F12" s="348">
        <f t="shared" si="1"/>
        <v>30695.132014172093</v>
      </c>
      <c r="G12" s="348">
        <f t="shared" si="1"/>
        <v>30695.132014172093</v>
      </c>
      <c r="H12" s="348">
        <f t="shared" si="1"/>
        <v>30695.132014172093</v>
      </c>
      <c r="I12" s="348">
        <f t="shared" si="1"/>
        <v>30695.132014172093</v>
      </c>
      <c r="J12" s="348">
        <f t="shared" si="1"/>
        <v>30695.132014172093</v>
      </c>
      <c r="K12" s="348">
        <f t="shared" si="1"/>
        <v>30695.132014172093</v>
      </c>
      <c r="L12" s="348">
        <f t="shared" si="1"/>
        <v>30695.132014172093</v>
      </c>
      <c r="M12" s="348">
        <f t="shared" si="1"/>
        <v>30695.132014172093</v>
      </c>
      <c r="N12" s="348">
        <f t="shared" ref="N12:Q12" si="2">$AA$11/14</f>
        <v>79791.31566109143</v>
      </c>
      <c r="O12" s="348">
        <f t="shared" si="2"/>
        <v>79791.31566109143</v>
      </c>
      <c r="P12" s="348">
        <f t="shared" si="2"/>
        <v>79791.31566109143</v>
      </c>
      <c r="Q12" s="348">
        <f t="shared" si="2"/>
        <v>79791.31566109143</v>
      </c>
      <c r="R12" s="348">
        <f t="shared" ref="R12:Z12" si="3">$AA$11/14+$AC$11/12</f>
        <v>246457.9823277581</v>
      </c>
      <c r="S12" s="348">
        <f t="shared" si="3"/>
        <v>246457.9823277581</v>
      </c>
      <c r="T12" s="348">
        <f t="shared" si="3"/>
        <v>246457.9823277581</v>
      </c>
      <c r="U12" s="348">
        <f t="shared" si="3"/>
        <v>246457.9823277581</v>
      </c>
      <c r="V12" s="348">
        <f t="shared" si="3"/>
        <v>246457.9823277581</v>
      </c>
      <c r="W12" s="348">
        <f t="shared" si="3"/>
        <v>246457.9823277581</v>
      </c>
      <c r="X12" s="348">
        <f t="shared" si="3"/>
        <v>246457.9823277581</v>
      </c>
      <c r="Y12" s="348">
        <f t="shared" si="3"/>
        <v>246457.9823277581</v>
      </c>
      <c r="Z12" s="348">
        <f t="shared" si="3"/>
        <v>246457.9823277581</v>
      </c>
      <c r="AA12" s="348">
        <f>$AA$11/14+$AC$11/12</f>
        <v>246457.9823277581</v>
      </c>
      <c r="AB12" s="348">
        <f>$AI$11/8 +AC11/12</f>
        <v>467732.94675975665</v>
      </c>
      <c r="AC12" s="348">
        <f>$AI$11/8 +AC11/12</f>
        <v>467732.94675975665</v>
      </c>
      <c r="AD12" s="348">
        <f t="shared" ref="AD12:AE12" si="4">$AI$11/8+$AF$11/3</f>
        <v>434399.6134264234</v>
      </c>
      <c r="AE12" s="348">
        <f t="shared" si="4"/>
        <v>434399.6134264234</v>
      </c>
      <c r="AF12" s="348">
        <f>$AI$11/8+$AF$11/3</f>
        <v>434399.6134264234</v>
      </c>
      <c r="AG12" s="348">
        <f t="shared" ref="AG12:AI12" si="5">$AI$11/8</f>
        <v>301066.28009309003</v>
      </c>
      <c r="AH12" s="348">
        <f t="shared" si="5"/>
        <v>301066.28009309003</v>
      </c>
      <c r="AI12" s="348">
        <f t="shared" si="5"/>
        <v>301066.28009309003</v>
      </c>
    </row>
    <row r="13" spans="1:37">
      <c r="A13" s="330" t="s">
        <v>615</v>
      </c>
      <c r="B13" s="330">
        <f>SUM($B$12:B12)</f>
        <v>70200</v>
      </c>
      <c r="C13" s="330">
        <f>SUM($B$12:C12)</f>
        <v>100895.13201417209</v>
      </c>
      <c r="D13" s="330">
        <f>SUM($B$12:D12)</f>
        <v>131590.26402834419</v>
      </c>
      <c r="E13" s="330">
        <f>SUM($B$12:E12)</f>
        <v>162285.39604251628</v>
      </c>
      <c r="F13" s="330">
        <f>SUM($B$12:F12)</f>
        <v>192980.52805668837</v>
      </c>
      <c r="G13" s="330">
        <f>SUM($B$12:G12)</f>
        <v>223675.66007086047</v>
      </c>
      <c r="H13" s="330">
        <f>SUM($B$12:H12)</f>
        <v>254370.79208503256</v>
      </c>
      <c r="I13" s="330">
        <f>SUM($B$12:I12)</f>
        <v>285065.92409920465</v>
      </c>
      <c r="J13" s="330">
        <f>SUM($B$12:J12)</f>
        <v>315761.05611337675</v>
      </c>
      <c r="K13" s="330">
        <f>SUM($B$12:K12)</f>
        <v>346456.18812754884</v>
      </c>
      <c r="L13" s="330">
        <f>SUM($B$12:L12)</f>
        <v>377151.32014172093</v>
      </c>
      <c r="M13" s="330">
        <f>SUM($B$12:M12)</f>
        <v>407846.45215589303</v>
      </c>
      <c r="N13" s="330">
        <f>SUM($B$12:N12)</f>
        <v>487637.76781698444</v>
      </c>
      <c r="O13" s="330">
        <f>SUM($B$12:O12)</f>
        <v>567429.08347807592</v>
      </c>
      <c r="P13" s="330">
        <f>SUM($B$12:P12)</f>
        <v>647220.39913916739</v>
      </c>
      <c r="Q13" s="330">
        <f>SUM($B$12:Q12)</f>
        <v>727011.71480025887</v>
      </c>
      <c r="R13" s="330">
        <f>SUM($B$12:R12)</f>
        <v>973469.69712801697</v>
      </c>
      <c r="S13" s="330">
        <f>SUM($B$12:S12)</f>
        <v>1219927.6794557751</v>
      </c>
      <c r="T13" s="330">
        <f>SUM($B$12:T12)</f>
        <v>1466385.6617835332</v>
      </c>
      <c r="U13" s="330">
        <f>SUM($B$12:U12)</f>
        <v>1712843.6441112913</v>
      </c>
      <c r="V13" s="330">
        <f>SUM($B$12:V12)</f>
        <v>1959301.6264390494</v>
      </c>
      <c r="W13" s="330">
        <f>SUM($B$12:W12)</f>
        <v>2205759.6087668072</v>
      </c>
      <c r="X13" s="330">
        <f>SUM($B$12:X12)</f>
        <v>2452217.5910945656</v>
      </c>
      <c r="Y13" s="330">
        <f>SUM($B$12:Y12)</f>
        <v>2698675.5734223239</v>
      </c>
      <c r="Z13" s="330">
        <f>SUM($B$12:Z12)</f>
        <v>2945133.5557500822</v>
      </c>
      <c r="AA13" s="330">
        <f>SUM($B$12:AA12)</f>
        <v>3191591.5380778406</v>
      </c>
      <c r="AB13" s="330">
        <f>SUM($B$12:AB12)</f>
        <v>3659324.4848375972</v>
      </c>
      <c r="AC13" s="330">
        <f>SUM($B$12:AC12)</f>
        <v>4127057.4315973539</v>
      </c>
      <c r="AD13" s="330">
        <f>SUM($B$12:AD12)</f>
        <v>4561457.0450237775</v>
      </c>
      <c r="AE13" s="330">
        <f>SUM($B$12:AE12)</f>
        <v>4995856.6584502012</v>
      </c>
      <c r="AF13" s="330">
        <f>SUM($B$12:AF12)</f>
        <v>5430256.2718766248</v>
      </c>
      <c r="AG13" s="330">
        <f>SUM($B$12:AG12)</f>
        <v>5731322.5519697145</v>
      </c>
      <c r="AH13" s="330">
        <f>SUM($B$12:AH12)</f>
        <v>6032388.8320628041</v>
      </c>
      <c r="AI13" s="330">
        <f>SUM($B$12:AI12)</f>
        <v>6333455.1121558938</v>
      </c>
    </row>
    <row r="14" spans="1:37" ht="10.25" customHeight="1">
      <c r="A14" s="337" t="s">
        <v>612</v>
      </c>
      <c r="B14" s="338" t="s">
        <v>637</v>
      </c>
      <c r="M14" s="338" t="s">
        <v>637</v>
      </c>
      <c r="AA14" s="338" t="s">
        <v>637</v>
      </c>
      <c r="AC14" s="339" t="s">
        <v>641</v>
      </c>
      <c r="AF14" s="339" t="s">
        <v>642</v>
      </c>
      <c r="AI14" s="339" t="s">
        <v>638</v>
      </c>
    </row>
    <row r="16" spans="1:37">
      <c r="A16" s="330" t="s">
        <v>616</v>
      </c>
      <c r="B16" s="330">
        <f>SUM(B13,B7)</f>
        <v>404194</v>
      </c>
      <c r="C16" s="330">
        <f t="shared" ref="C16:AI16" si="6">SUM(C13,C7)</f>
        <v>523310.60967168876</v>
      </c>
      <c r="D16" s="330">
        <f t="shared" si="6"/>
        <v>642427.21934337751</v>
      </c>
      <c r="E16" s="330">
        <f t="shared" si="6"/>
        <v>761543.82901506615</v>
      </c>
      <c r="F16" s="330">
        <f>SUM(F13,F7)</f>
        <v>880660.4386867549</v>
      </c>
      <c r="G16" s="330">
        <f t="shared" si="6"/>
        <v>999777.04835844366</v>
      </c>
      <c r="H16" s="330">
        <f t="shared" si="6"/>
        <v>1118893.6580301323</v>
      </c>
      <c r="I16" s="330">
        <f t="shared" si="6"/>
        <v>1238010.2677018209</v>
      </c>
      <c r="J16" s="330">
        <f t="shared" si="6"/>
        <v>1357126.8773735096</v>
      </c>
      <c r="K16" s="330">
        <f t="shared" si="6"/>
        <v>1476243.4870451984</v>
      </c>
      <c r="L16" s="330">
        <f t="shared" si="6"/>
        <v>1595360.0967168873</v>
      </c>
      <c r="M16" s="330">
        <f t="shared" si="6"/>
        <v>1714476.706388576</v>
      </c>
      <c r="N16" s="330">
        <f t="shared" si="6"/>
        <v>2124332.5020496673</v>
      </c>
      <c r="O16" s="330">
        <f t="shared" si="6"/>
        <v>2453422.2277107588</v>
      </c>
      <c r="P16" s="330">
        <f t="shared" si="6"/>
        <v>2665938.9833718501</v>
      </c>
      <c r="Q16" s="330">
        <f t="shared" si="6"/>
        <v>3710029.2490329416</v>
      </c>
      <c r="R16" s="330">
        <f t="shared" si="6"/>
        <v>4113689.8613606994</v>
      </c>
      <c r="S16" s="330">
        <f t="shared" si="6"/>
        <v>4476397.9836884579</v>
      </c>
      <c r="T16" s="330">
        <f t="shared" si="6"/>
        <v>5329803.4360162159</v>
      </c>
      <c r="U16" s="330">
        <f t="shared" si="6"/>
        <v>5703617.0683439737</v>
      </c>
      <c r="V16" s="330">
        <f t="shared" si="6"/>
        <v>6127035.5206717327</v>
      </c>
      <c r="W16" s="330">
        <f t="shared" si="6"/>
        <v>7351815.9929994904</v>
      </c>
      <c r="X16" s="330">
        <f t="shared" si="6"/>
        <v>8215900.4653272489</v>
      </c>
      <c r="Y16" s="330">
        <f t="shared" si="6"/>
        <v>8887716.3376550078</v>
      </c>
      <c r="Z16" s="330">
        <f t="shared" si="6"/>
        <v>10073846.399982765</v>
      </c>
      <c r="AA16" s="330">
        <f t="shared" si="6"/>
        <v>10865866.982310522</v>
      </c>
      <c r="AB16" s="330">
        <f t="shared" si="6"/>
        <v>11878889.859070279</v>
      </c>
      <c r="AC16" s="330">
        <f t="shared" si="6"/>
        <v>12922910.215830036</v>
      </c>
      <c r="AD16" s="330">
        <f t="shared" si="6"/>
        <v>14333712.969256461</v>
      </c>
      <c r="AE16" s="330">
        <f t="shared" si="6"/>
        <v>15800016.972682884</v>
      </c>
      <c r="AF16" s="330">
        <f t="shared" si="6"/>
        <v>17051423.616109308</v>
      </c>
      <c r="AG16" s="330">
        <f t="shared" si="6"/>
        <v>18289818.196202397</v>
      </c>
      <c r="AH16" s="330">
        <f t="shared" si="6"/>
        <v>19703942.316295486</v>
      </c>
      <c r="AI16" s="330">
        <f t="shared" si="6"/>
        <v>21013966.796388574</v>
      </c>
    </row>
    <row r="17" spans="1:35">
      <c r="A17" s="330" t="s">
        <v>617</v>
      </c>
      <c r="B17" s="330">
        <f>SUM(B8,B13)</f>
        <v>404194</v>
      </c>
      <c r="C17" s="330">
        <f t="shared" ref="C17:AI17" si="7">SUM(C8,C13)</f>
        <v>523310.63201417209</v>
      </c>
      <c r="D17" s="330">
        <f t="shared" si="7"/>
        <v>642427.26402834419</v>
      </c>
      <c r="E17" s="330">
        <f t="shared" si="7"/>
        <v>761543.89604251622</v>
      </c>
      <c r="F17" s="330">
        <f t="shared" si="7"/>
        <v>880660.52805668837</v>
      </c>
      <c r="G17" s="330">
        <f t="shared" si="7"/>
        <v>999777.16007086053</v>
      </c>
      <c r="H17" s="330">
        <f t="shared" si="7"/>
        <v>1118893.7920850324</v>
      </c>
      <c r="I17" s="330">
        <f t="shared" si="7"/>
        <v>1238010.4240992046</v>
      </c>
      <c r="J17" s="330">
        <f t="shared" si="7"/>
        <v>1357127.0561133767</v>
      </c>
      <c r="K17" s="330">
        <f t="shared" si="7"/>
        <v>1476243.6881275489</v>
      </c>
      <c r="L17" s="330">
        <f t="shared" si="7"/>
        <v>1595360.3201417211</v>
      </c>
      <c r="M17" s="330">
        <f t="shared" si="7"/>
        <v>1714476.952155893</v>
      </c>
      <c r="N17" s="330">
        <f t="shared" si="7"/>
        <v>1782345.9078169842</v>
      </c>
      <c r="O17" s="330">
        <f t="shared" si="7"/>
        <v>3939094.3434780757</v>
      </c>
      <c r="P17" s="330">
        <f t="shared" si="7"/>
        <v>4024204.2391391671</v>
      </c>
      <c r="Q17" s="330">
        <f t="shared" si="7"/>
        <v>4103995.5548002589</v>
      </c>
      <c r="R17" s="330">
        <f t="shared" si="7"/>
        <v>5508241.5371280164</v>
      </c>
      <c r="S17" s="330">
        <f t="shared" si="7"/>
        <v>5754699.5194557747</v>
      </c>
      <c r="T17" s="330">
        <f t="shared" si="7"/>
        <v>6001157.501783533</v>
      </c>
      <c r="U17" s="330">
        <f t="shared" si="7"/>
        <v>6311699.7441112911</v>
      </c>
      <c r="V17" s="330">
        <f t="shared" si="7"/>
        <v>7515244.7264390495</v>
      </c>
      <c r="W17" s="330">
        <f t="shared" si="7"/>
        <v>8617574.5387668069</v>
      </c>
      <c r="X17" s="330">
        <f t="shared" si="7"/>
        <v>9812193.3210945651</v>
      </c>
      <c r="Y17" s="330">
        <f t="shared" si="7"/>
        <v>10737350.183422323</v>
      </c>
      <c r="Z17" s="330">
        <f t="shared" si="7"/>
        <v>13752090.005750082</v>
      </c>
      <c r="AA17" s="330">
        <f t="shared" si="7"/>
        <v>13998547.98807784</v>
      </c>
      <c r="AB17" s="330">
        <f t="shared" si="7"/>
        <v>16266930.894837597</v>
      </c>
      <c r="AC17" s="330">
        <f t="shared" si="7"/>
        <v>17649893.741597354</v>
      </c>
      <c r="AD17" s="330">
        <f t="shared" si="7"/>
        <v>18485034.035023779</v>
      </c>
      <c r="AE17" s="330">
        <f t="shared" si="7"/>
        <v>19809082.828450203</v>
      </c>
      <c r="AF17" s="330">
        <f t="shared" si="7"/>
        <v>21346349.651876625</v>
      </c>
      <c r="AG17" s="330">
        <f t="shared" si="7"/>
        <v>22669230.541969713</v>
      </c>
      <c r="AH17" s="330">
        <f t="shared" si="7"/>
        <v>23889505.1320628</v>
      </c>
      <c r="AI17" s="330">
        <f t="shared" si="7"/>
        <v>26503043.76215589</v>
      </c>
    </row>
    <row r="19" spans="1:35" ht="15">
      <c r="A19" s="343" t="s">
        <v>618</v>
      </c>
      <c r="B19" s="344">
        <f>'2014 -Revenue and transfers'!B5</f>
        <v>604700</v>
      </c>
      <c r="C19" s="344"/>
      <c r="D19" s="344"/>
      <c r="E19" s="344">
        <f>'2014 -Revenue and transfers'!B7-SUM(F19:N19)</f>
        <v>2406189</v>
      </c>
      <c r="F19" s="344"/>
      <c r="G19" s="344"/>
      <c r="H19" s="344">
        <f>500000+800000</f>
        <v>1300000</v>
      </c>
      <c r="I19" s="344"/>
      <c r="J19" s="344"/>
      <c r="K19" s="344">
        <f>1000000+100000</f>
        <v>1100000</v>
      </c>
      <c r="L19" s="344"/>
      <c r="M19" s="344"/>
      <c r="N19" s="330">
        <f>600000+0</f>
        <v>600000</v>
      </c>
      <c r="Q19" s="344">
        <f>4700000+7800000</f>
        <v>12500000</v>
      </c>
      <c r="T19" s="344">
        <v>1900000</v>
      </c>
      <c r="U19" s="344"/>
      <c r="V19" s="344"/>
      <c r="W19" s="344">
        <v>1400000</v>
      </c>
      <c r="X19" s="344"/>
      <c r="Y19" s="344">
        <f>1000000+2600000</f>
        <v>3600000</v>
      </c>
      <c r="AC19" s="344">
        <f>7200000+6400000</f>
        <v>13600000</v>
      </c>
    </row>
    <row r="20" spans="1:35">
      <c r="A20" s="330" t="s">
        <v>619</v>
      </c>
      <c r="B20" s="330">
        <f>SUM($B19:B19)</f>
        <v>604700</v>
      </c>
      <c r="C20" s="330">
        <f>SUM($B19:C19)</f>
        <v>604700</v>
      </c>
      <c r="D20" s="330">
        <f>SUM($B19:D19)</f>
        <v>604700</v>
      </c>
      <c r="E20" s="330">
        <f>SUM($B19:E19)</f>
        <v>3010889</v>
      </c>
      <c r="F20" s="330">
        <f>SUM($B19:F19)</f>
        <v>3010889</v>
      </c>
      <c r="G20" s="330">
        <f>SUM($B19:G19)</f>
        <v>3010889</v>
      </c>
      <c r="H20" s="330">
        <f>SUM($B19:H19)</f>
        <v>4310889</v>
      </c>
      <c r="I20" s="330">
        <f>SUM($B19:I19)</f>
        <v>4310889</v>
      </c>
      <c r="J20" s="330">
        <f>SUM($B19:J19)</f>
        <v>4310889</v>
      </c>
      <c r="K20" s="330">
        <f>SUM($B19:K19)</f>
        <v>5410889</v>
      </c>
      <c r="L20" s="330">
        <f>SUM($B19:L19)</f>
        <v>5410889</v>
      </c>
      <c r="M20" s="330">
        <f>SUM($B19:M19)</f>
        <v>5410889</v>
      </c>
      <c r="N20" s="330">
        <f>SUM($B19:N19)</f>
        <v>6010889</v>
      </c>
      <c r="O20" s="330">
        <f>SUM($B19:O19)</f>
        <v>6010889</v>
      </c>
      <c r="P20" s="330">
        <f>SUM($B19:P19)</f>
        <v>6010889</v>
      </c>
      <c r="Q20" s="330">
        <f>SUM($B19:Q19)</f>
        <v>18510889</v>
      </c>
      <c r="R20" s="330">
        <f>SUM($B19:R19)</f>
        <v>18510889</v>
      </c>
      <c r="S20" s="330">
        <f>SUM($B19:S19)</f>
        <v>18510889</v>
      </c>
      <c r="T20" s="330">
        <f>SUM($B19:T19)</f>
        <v>20410889</v>
      </c>
      <c r="U20" s="330">
        <f>SUM($B19:U19)</f>
        <v>20410889</v>
      </c>
      <c r="V20" s="330">
        <f>SUM($B19:V19)</f>
        <v>20410889</v>
      </c>
      <c r="W20" s="330">
        <f>SUM($B19:W19)</f>
        <v>21810889</v>
      </c>
      <c r="X20" s="330">
        <f>SUM($B19:X19)</f>
        <v>21810889</v>
      </c>
      <c r="Y20" s="330">
        <f>SUM($B19:Y19)</f>
        <v>25410889</v>
      </c>
      <c r="Z20" s="330">
        <f>SUM($B19:Z19)</f>
        <v>25410889</v>
      </c>
      <c r="AA20" s="330">
        <f>SUM($B19:AA19)</f>
        <v>25410889</v>
      </c>
      <c r="AB20" s="330">
        <f>SUM($B19:AB19)</f>
        <v>25410889</v>
      </c>
      <c r="AC20" s="330">
        <f>SUM($B19:AC19)</f>
        <v>39010889</v>
      </c>
    </row>
    <row r="21" spans="1:35" s="339" customFormat="1" ht="11">
      <c r="A21" s="337" t="s">
        <v>612</v>
      </c>
      <c r="B21" s="339" t="s">
        <v>639</v>
      </c>
      <c r="E21" s="339" t="s">
        <v>639</v>
      </c>
      <c r="H21" s="339" t="s">
        <v>640</v>
      </c>
      <c r="K21" s="339" t="s">
        <v>640</v>
      </c>
      <c r="N21" s="339" t="s">
        <v>640</v>
      </c>
      <c r="Q21" s="339" t="s">
        <v>640</v>
      </c>
      <c r="T21" s="339" t="s">
        <v>640</v>
      </c>
      <c r="W21" s="339" t="s">
        <v>640</v>
      </c>
      <c r="Y21" s="339" t="s">
        <v>640</v>
      </c>
      <c r="AC21" s="339" t="s">
        <v>640</v>
      </c>
      <c r="AD21" s="339" t="s">
        <v>620</v>
      </c>
    </row>
    <row r="24" spans="1:35" ht="70">
      <c r="B24" s="345" t="s">
        <v>621</v>
      </c>
      <c r="C24" s="345" t="s">
        <v>622</v>
      </c>
      <c r="D24" s="345" t="s">
        <v>623</v>
      </c>
      <c r="E24" s="345" t="s">
        <v>624</v>
      </c>
      <c r="F24" s="345" t="s">
        <v>625</v>
      </c>
      <c r="G24" s="345" t="s">
        <v>626</v>
      </c>
    </row>
    <row r="25" spans="1:35">
      <c r="B25" s="225" t="s">
        <v>627</v>
      </c>
      <c r="C25" s="346">
        <v>3010889</v>
      </c>
      <c r="D25" s="225" t="s">
        <v>628</v>
      </c>
      <c r="E25" s="217">
        <v>12</v>
      </c>
      <c r="F25" s="225" t="s">
        <v>629</v>
      </c>
      <c r="G25" s="217">
        <v>10</v>
      </c>
    </row>
    <row r="26" spans="1:35">
      <c r="B26" s="225" t="s">
        <v>630</v>
      </c>
      <c r="C26" s="346">
        <v>5410889</v>
      </c>
      <c r="D26" s="225" t="s">
        <v>644</v>
      </c>
      <c r="E26" s="217">
        <v>10</v>
      </c>
      <c r="F26" s="225" t="s">
        <v>643</v>
      </c>
      <c r="G26" s="217">
        <v>7</v>
      </c>
    </row>
    <row r="27" spans="1:35">
      <c r="B27" s="225" t="s">
        <v>628</v>
      </c>
      <c r="C27" s="346">
        <v>18510889</v>
      </c>
      <c r="D27" s="225" t="s">
        <v>645</v>
      </c>
      <c r="E27" s="217">
        <v>17</v>
      </c>
      <c r="F27" s="225" t="s">
        <v>646</v>
      </c>
      <c r="G27" s="217">
        <v>14</v>
      </c>
    </row>
    <row r="28" spans="1:35">
      <c r="B28" s="225" t="s">
        <v>631</v>
      </c>
      <c r="C28" s="346">
        <v>21810889</v>
      </c>
      <c r="D28" s="225" t="s">
        <v>632</v>
      </c>
      <c r="E28" s="217" t="s">
        <v>632</v>
      </c>
      <c r="F28" s="225" t="s">
        <v>647</v>
      </c>
      <c r="G28" s="217">
        <v>10</v>
      </c>
    </row>
    <row r="29" spans="1:35">
      <c r="B29" s="225" t="s">
        <v>633</v>
      </c>
      <c r="C29" s="346">
        <v>39010889</v>
      </c>
      <c r="D29" s="225" t="s">
        <v>648</v>
      </c>
      <c r="E29" s="217" t="s">
        <v>632</v>
      </c>
      <c r="F29" s="225" t="s">
        <v>649</v>
      </c>
      <c r="G29" s="225" t="s">
        <v>632</v>
      </c>
    </row>
    <row r="30" spans="1:35">
      <c r="B30" s="225"/>
      <c r="D30" s="225"/>
      <c r="E30" s="217"/>
      <c r="F30" s="225"/>
      <c r="G30" s="217"/>
    </row>
    <row r="31" spans="1:35">
      <c r="B31" s="349" t="s">
        <v>655</v>
      </c>
      <c r="C31" s="343" t="s">
        <v>654</v>
      </c>
      <c r="D31" s="343" t="s">
        <v>656</v>
      </c>
      <c r="E31" s="355" t="s">
        <v>657</v>
      </c>
      <c r="F31" s="355" t="s">
        <v>659</v>
      </c>
      <c r="G31" s="217"/>
    </row>
    <row r="32" spans="1:35">
      <c r="B32" s="330" t="s">
        <v>658</v>
      </c>
      <c r="C32" s="330">
        <f>SUM(H6:M6)/6</f>
        <v>88421.5</v>
      </c>
      <c r="D32" s="330">
        <f>C32/1000000</f>
        <v>8.84215E-2</v>
      </c>
      <c r="E32" s="330">
        <f>SUM(H5:M5)/6</f>
        <v>88421.477657516647</v>
      </c>
      <c r="F32" s="356">
        <f>SUM(P5:U5)/6</f>
        <v>350796.71333333332</v>
      </c>
      <c r="G32" s="217"/>
    </row>
    <row r="33" spans="2:6">
      <c r="B33" s="330" t="s">
        <v>650</v>
      </c>
      <c r="C33" s="330">
        <f>SUM(N6:S6)/6</f>
        <v>538023.55666666664</v>
      </c>
      <c r="D33" s="330">
        <f t="shared" ref="D33:D36" si="8">C33/1000000</f>
        <v>0.53802355666666668</v>
      </c>
      <c r="E33" s="330">
        <f>SUM(N5:S5)/6</f>
        <v>324973.34166666667</v>
      </c>
      <c r="F33" s="356">
        <f>SUM(V5:AA5)/6</f>
        <v>613917.0033333333</v>
      </c>
    </row>
    <row r="34" spans="2:6">
      <c r="B34" s="330" t="s">
        <v>651</v>
      </c>
      <c r="C34" s="330">
        <f>SUM(T6:Y6)/6</f>
        <v>583983.79499999993</v>
      </c>
      <c r="D34" s="330">
        <f t="shared" si="8"/>
        <v>0.58398379499999997</v>
      </c>
      <c r="E34" s="330">
        <f>SUM(T5:Y5)/6</f>
        <v>488761.7433333334</v>
      </c>
      <c r="F34" s="356">
        <f>SUM(AB5:AG5)/6</f>
        <v>814036.70000000007</v>
      </c>
    </row>
    <row r="35" spans="2:6">
      <c r="B35" s="330" t="s">
        <v>652</v>
      </c>
      <c r="C35" s="330">
        <f>SUM(Z6:AE6)/6</f>
        <v>1129091.9266666665</v>
      </c>
      <c r="D35" s="330">
        <f t="shared" si="8"/>
        <v>1.1290919266666666</v>
      </c>
      <c r="E35" s="330">
        <f>SUM(Z5:AE5)/6</f>
        <v>769186.59166666667</v>
      </c>
      <c r="F35" s="356" t="s">
        <v>4</v>
      </c>
    </row>
    <row r="36" spans="2:6">
      <c r="B36" s="330" t="s">
        <v>653</v>
      </c>
      <c r="C36" s="330">
        <f>SUM(AF6:AI6)/4</f>
        <v>1339090.6200000001</v>
      </c>
      <c r="D36" s="330">
        <f t="shared" si="8"/>
        <v>1.3390906200000001</v>
      </c>
      <c r="E36" s="330">
        <f>SUM(AF5:AI5)/4</f>
        <v>969087.84250000003</v>
      </c>
      <c r="F36" s="356" t="s">
        <v>4</v>
      </c>
    </row>
  </sheetData>
  <pageMargins left="0.7" right="0.7" top="0.75" bottom="0.75" header="0.3" footer="0.3"/>
  <pageSetup orientation="portrait"/>
  <drawing r:id="rId1"/>
  <legacyDrawing r:id="rId2"/>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36"/>
  <sheetViews>
    <sheetView tabSelected="1" workbookViewId="0">
      <pane xSplit="2" topLeftCell="C1" activePane="topRight" state="frozen"/>
      <selection pane="topRight" activeCell="G22" sqref="G22"/>
    </sheetView>
  </sheetViews>
  <sheetFormatPr baseColWidth="10" defaultColWidth="8.83203125" defaultRowHeight="14" x14ac:dyDescent="0"/>
  <cols>
    <col min="1" max="1" width="8.83203125" style="293"/>
    <col min="2" max="2" width="43" style="293" customWidth="1"/>
    <col min="3" max="3" width="2" style="293" customWidth="1"/>
    <col min="4" max="4" width="13.6640625" style="293" customWidth="1"/>
    <col min="5" max="5" width="12.5" style="293" customWidth="1"/>
    <col min="6" max="6" width="1.5" style="293" customWidth="1"/>
    <col min="7" max="7" width="37" style="293" customWidth="1"/>
    <col min="8" max="8" width="4.33203125" style="293" customWidth="1"/>
    <col min="9" max="9" width="14.83203125" style="293" customWidth="1"/>
    <col min="10" max="10" width="14.6640625" style="293" customWidth="1"/>
    <col min="11" max="11" width="17.33203125" style="293" customWidth="1"/>
    <col min="12" max="12" width="64.6640625" style="293" customWidth="1"/>
    <col min="13" max="16384" width="8.83203125" style="293"/>
  </cols>
  <sheetData>
    <row r="1" spans="2:13" ht="28">
      <c r="B1" s="293" t="s">
        <v>665</v>
      </c>
    </row>
    <row r="2" spans="2:13" ht="15">
      <c r="B2" s="327" t="s">
        <v>588</v>
      </c>
      <c r="D2" s="362" t="s">
        <v>589</v>
      </c>
      <c r="E2" s="362"/>
      <c r="F2" s="362"/>
      <c r="G2" s="362"/>
      <c r="I2"/>
      <c r="J2"/>
      <c r="K2"/>
      <c r="L2"/>
    </row>
    <row r="3" spans="2:13" ht="15">
      <c r="B3" s="291"/>
      <c r="C3" s="291"/>
      <c r="D3" s="292" t="s">
        <v>552</v>
      </c>
      <c r="E3" s="292" t="s">
        <v>553</v>
      </c>
      <c r="F3" s="292"/>
      <c r="G3" s="291" t="s">
        <v>587</v>
      </c>
      <c r="I3"/>
      <c r="J3"/>
      <c r="K3"/>
      <c r="L3"/>
    </row>
    <row r="4" spans="2:13" ht="46.5" customHeight="1">
      <c r="B4" s="293" t="s">
        <v>554</v>
      </c>
      <c r="D4" s="293">
        <f>15*1.15</f>
        <v>17.25</v>
      </c>
      <c r="E4" s="293">
        <f>15*1.15</f>
        <v>17.25</v>
      </c>
      <c r="G4" s="293" t="s">
        <v>555</v>
      </c>
      <c r="I4"/>
      <c r="J4"/>
      <c r="K4"/>
      <c r="L4"/>
    </row>
    <row r="5" spans="2:13" ht="17.25" customHeight="1">
      <c r="B5" s="293" t="s">
        <v>556</v>
      </c>
      <c r="D5" s="293">
        <v>8</v>
      </c>
      <c r="E5" s="293">
        <v>8</v>
      </c>
      <c r="G5" s="293" t="s">
        <v>557</v>
      </c>
      <c r="I5"/>
      <c r="J5"/>
      <c r="K5"/>
      <c r="L5"/>
    </row>
    <row r="6" spans="2:13" ht="15">
      <c r="B6" s="293" t="s">
        <v>558</v>
      </c>
      <c r="D6" s="293">
        <v>3</v>
      </c>
      <c r="E6" s="293">
        <v>5</v>
      </c>
      <c r="I6"/>
      <c r="J6"/>
      <c r="K6"/>
      <c r="L6"/>
    </row>
    <row r="7" spans="2:13" ht="14.25" customHeight="1">
      <c r="B7" s="293" t="s">
        <v>559</v>
      </c>
      <c r="D7" s="293">
        <v>1</v>
      </c>
      <c r="E7" s="293">
        <v>1</v>
      </c>
      <c r="I7"/>
      <c r="J7"/>
      <c r="K7"/>
      <c r="L7"/>
    </row>
    <row r="8" spans="2:13" ht="15">
      <c r="B8" s="294" t="s">
        <v>560</v>
      </c>
      <c r="C8" s="294"/>
      <c r="D8" s="295">
        <f>D4*D6+D5*D7</f>
        <v>59.75</v>
      </c>
      <c r="E8" s="295">
        <f>E4*E6+E5*E7</f>
        <v>94.25</v>
      </c>
      <c r="F8" s="296"/>
      <c r="I8"/>
      <c r="J8"/>
      <c r="K8"/>
      <c r="L8"/>
    </row>
    <row r="9" spans="2:13" ht="15">
      <c r="B9" s="291"/>
      <c r="C9" s="291"/>
      <c r="D9" s="292"/>
      <c r="E9" s="292"/>
      <c r="F9" s="292"/>
      <c r="I9"/>
      <c r="J9"/>
      <c r="K9"/>
      <c r="L9"/>
    </row>
    <row r="10" spans="2:13" ht="15">
      <c r="D10" s="291" t="s">
        <v>561</v>
      </c>
      <c r="E10" s="291" t="s">
        <v>562</v>
      </c>
      <c r="I10"/>
      <c r="J10"/>
      <c r="K10"/>
      <c r="L10"/>
    </row>
    <row r="11" spans="2:13" ht="15">
      <c r="B11" s="293" t="s">
        <v>563</v>
      </c>
      <c r="D11" s="297">
        <v>0.6</v>
      </c>
      <c r="E11" s="297">
        <f>D11</f>
        <v>0.6</v>
      </c>
      <c r="F11" s="297"/>
      <c r="G11" s="293" t="s">
        <v>564</v>
      </c>
      <c r="I11"/>
      <c r="J11"/>
      <c r="K11"/>
      <c r="L11"/>
      <c r="M11" s="298"/>
    </row>
    <row r="12" spans="2:13" ht="15">
      <c r="B12" s="293" t="s">
        <v>565</v>
      </c>
      <c r="D12" s="299">
        <v>4</v>
      </c>
      <c r="E12" s="299">
        <v>4</v>
      </c>
      <c r="F12" s="297"/>
      <c r="G12" s="293" t="s">
        <v>566</v>
      </c>
      <c r="I12"/>
      <c r="J12"/>
      <c r="K12"/>
      <c r="L12"/>
    </row>
    <row r="13" spans="2:13" ht="28">
      <c r="B13" s="293" t="s">
        <v>567</v>
      </c>
      <c r="D13" s="299">
        <f>3+0.35*3</f>
        <v>4.05</v>
      </c>
      <c r="E13" s="299">
        <f>3+0.35*3</f>
        <v>4.05</v>
      </c>
      <c r="F13" s="297"/>
      <c r="G13" s="293" t="s">
        <v>568</v>
      </c>
      <c r="I13"/>
      <c r="J13"/>
      <c r="K13"/>
      <c r="L13"/>
    </row>
    <row r="14" spans="2:13" ht="48.75" customHeight="1">
      <c r="B14" s="300" t="s">
        <v>569</v>
      </c>
      <c r="C14" s="300"/>
      <c r="D14" s="301">
        <v>20</v>
      </c>
      <c r="E14" s="301">
        <v>0</v>
      </c>
      <c r="F14" s="297"/>
      <c r="G14" s="293" t="s">
        <v>570</v>
      </c>
      <c r="I14"/>
      <c r="J14"/>
      <c r="K14"/>
      <c r="L14"/>
    </row>
    <row r="15" spans="2:13" ht="15">
      <c r="B15" s="291" t="s">
        <v>571</v>
      </c>
      <c r="C15" s="291"/>
      <c r="D15" s="296">
        <f>SUM(D11:D14)</f>
        <v>28.65</v>
      </c>
      <c r="E15" s="296">
        <f>SUM(E11:E14)</f>
        <v>8.6499999999999986</v>
      </c>
      <c r="F15" s="292"/>
      <c r="I15"/>
      <c r="J15"/>
      <c r="K15"/>
      <c r="L15"/>
    </row>
    <row r="16" spans="2:13" ht="15">
      <c r="D16" s="299"/>
      <c r="E16" s="299"/>
      <c r="F16" s="299"/>
      <c r="I16"/>
      <c r="J16"/>
      <c r="K16"/>
      <c r="L16"/>
    </row>
    <row r="17" spans="2:12" ht="16" thickBot="1">
      <c r="B17" s="328" t="s">
        <v>572</v>
      </c>
      <c r="C17" s="302"/>
      <c r="D17" s="329">
        <f>D8-D15</f>
        <v>31.1</v>
      </c>
      <c r="E17" s="329">
        <f>E8-E15</f>
        <v>85.6</v>
      </c>
      <c r="F17" s="296"/>
      <c r="I17"/>
      <c r="J17"/>
      <c r="K17"/>
      <c r="L17"/>
    </row>
    <row r="18" spans="2:12" ht="16" thickTop="1">
      <c r="I18"/>
      <c r="J18"/>
      <c r="K18"/>
      <c r="L18"/>
    </row>
    <row r="19" spans="2:12" ht="15">
      <c r="B19"/>
      <c r="I19"/>
      <c r="J19"/>
      <c r="K19"/>
      <c r="L19"/>
    </row>
    <row r="20" spans="2:12" ht="15">
      <c r="B20"/>
      <c r="I20"/>
      <c r="J20"/>
      <c r="K20"/>
      <c r="L20"/>
    </row>
    <row r="21" spans="2:12" ht="15">
      <c r="B21"/>
      <c r="I21"/>
      <c r="J21"/>
      <c r="K21"/>
      <c r="L21"/>
    </row>
    <row r="22" spans="2:12" ht="15">
      <c r="B22"/>
      <c r="I22"/>
      <c r="J22"/>
      <c r="K22"/>
      <c r="L22"/>
    </row>
    <row r="29" spans="2:12">
      <c r="D29" s="303"/>
    </row>
    <row r="30" spans="2:12">
      <c r="D30" s="304"/>
    </row>
    <row r="31" spans="2:12">
      <c r="D31" s="305"/>
    </row>
    <row r="32" spans="2:12">
      <c r="D32" s="306"/>
    </row>
    <row r="33" spans="4:4">
      <c r="D33" s="306"/>
    </row>
    <row r="34" spans="4:4">
      <c r="D34" s="306"/>
    </row>
    <row r="35" spans="4:4">
      <c r="D35" s="307"/>
    </row>
    <row r="36" spans="4:4">
      <c r="D36" s="307"/>
    </row>
  </sheetData>
  <mergeCells count="1">
    <mergeCell ref="D2:G2"/>
  </mergeCells>
  <pageMargins left="0.7" right="0.7" top="0.75" bottom="0.75" header="0.3" footer="0.3"/>
  <pageSetup orientation="portrait"/>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63"/>
  <sheetViews>
    <sheetView workbookViewId="0">
      <selection activeCell="E26" sqref="E26"/>
    </sheetView>
  </sheetViews>
  <sheetFormatPr baseColWidth="10" defaultRowHeight="15" x14ac:dyDescent="0"/>
  <cols>
    <col min="1" max="1" width="17.5" style="135" customWidth="1"/>
    <col min="2" max="2" width="23.5" style="135" customWidth="1"/>
    <col min="3" max="3" width="13.83203125" style="135" bestFit="1" customWidth="1"/>
    <col min="4" max="4" width="13" style="135" customWidth="1"/>
    <col min="5" max="5" width="15" style="135" bestFit="1" customWidth="1"/>
    <col min="6" max="7" width="14.1640625" style="135" bestFit="1" customWidth="1"/>
    <col min="8" max="8" width="16.1640625" style="135" bestFit="1" customWidth="1"/>
    <col min="9" max="9" width="17.83203125" style="135" customWidth="1"/>
    <col min="10" max="10" width="25.33203125" style="135" customWidth="1"/>
    <col min="11" max="16384" width="10.83203125" style="135"/>
  </cols>
  <sheetData>
    <row r="1" spans="1:6">
      <c r="A1" s="115" t="s">
        <v>301</v>
      </c>
    </row>
    <row r="2" spans="1:6">
      <c r="A2" s="115" t="s">
        <v>307</v>
      </c>
    </row>
    <row r="3" spans="1:6">
      <c r="F3" s="115" t="s">
        <v>261</v>
      </c>
    </row>
    <row r="4" spans="1:6">
      <c r="A4" s="363" t="s">
        <v>264</v>
      </c>
      <c r="B4" s="115" t="s">
        <v>249</v>
      </c>
      <c r="C4" s="115" t="s">
        <v>252</v>
      </c>
      <c r="D4" s="115" t="s">
        <v>216</v>
      </c>
      <c r="E4" s="162">
        <v>7632</v>
      </c>
    </row>
    <row r="5" spans="1:6">
      <c r="A5" s="363"/>
      <c r="C5" s="115" t="s">
        <v>252</v>
      </c>
      <c r="D5" s="115" t="s">
        <v>218</v>
      </c>
      <c r="E5" s="162">
        <v>850</v>
      </c>
    </row>
    <row r="6" spans="1:6">
      <c r="A6" s="363"/>
      <c r="C6" s="115" t="s">
        <v>252</v>
      </c>
      <c r="D6" s="115" t="s">
        <v>219</v>
      </c>
      <c r="E6" s="162">
        <v>3484</v>
      </c>
      <c r="F6" s="115"/>
    </row>
    <row r="7" spans="1:6">
      <c r="A7" s="363"/>
      <c r="C7" s="115" t="s">
        <v>102</v>
      </c>
      <c r="D7" s="115" t="s">
        <v>220</v>
      </c>
      <c r="E7" s="162">
        <v>20000</v>
      </c>
      <c r="F7" s="166">
        <f>SUM(E4:E7)</f>
        <v>31966</v>
      </c>
    </row>
    <row r="8" spans="1:6">
      <c r="A8" s="363"/>
      <c r="B8" s="146" t="s">
        <v>1</v>
      </c>
      <c r="C8" s="115" t="s">
        <v>252</v>
      </c>
      <c r="D8" s="160" t="s">
        <v>215</v>
      </c>
      <c r="E8" s="163">
        <f>'Set up &amp; marketing costs FY2013'!F80</f>
        <v>7906</v>
      </c>
      <c r="F8" s="166"/>
    </row>
    <row r="9" spans="1:6">
      <c r="A9" s="363"/>
      <c r="C9" s="115" t="s">
        <v>252</v>
      </c>
      <c r="D9" s="160" t="s">
        <v>217</v>
      </c>
      <c r="E9" s="163">
        <f>'Set up &amp; marketing costs FY2013'!I80</f>
        <v>83229</v>
      </c>
      <c r="F9" s="166"/>
    </row>
    <row r="10" spans="1:6">
      <c r="A10" s="363"/>
      <c r="C10" s="115" t="s">
        <v>102</v>
      </c>
      <c r="D10" s="160" t="s">
        <v>102</v>
      </c>
      <c r="E10" s="163">
        <f>'Set up &amp; marketing costs FY2013'!L80</f>
        <v>33698</v>
      </c>
      <c r="F10" s="166">
        <f>SUM(E8:E10)</f>
        <v>124833</v>
      </c>
    </row>
    <row r="11" spans="1:6">
      <c r="A11" s="363"/>
      <c r="B11" s="115" t="s">
        <v>2</v>
      </c>
      <c r="C11" s="115" t="s">
        <v>252</v>
      </c>
      <c r="D11" s="115" t="s">
        <v>215</v>
      </c>
      <c r="E11" s="162">
        <f>'Set up &amp; marketing costs FY2014'!I92</f>
        <v>44984.61</v>
      </c>
      <c r="F11" s="166"/>
    </row>
    <row r="12" spans="1:6">
      <c r="A12" s="363"/>
      <c r="C12" s="115" t="s">
        <v>252</v>
      </c>
      <c r="D12" s="115" t="s">
        <v>217</v>
      </c>
      <c r="E12" s="162">
        <f>'Set up &amp; marketing costs FY2014'!L92</f>
        <v>47959.53</v>
      </c>
      <c r="F12" s="166"/>
    </row>
    <row r="13" spans="1:6">
      <c r="A13" s="363"/>
      <c r="C13" s="115" t="s">
        <v>252</v>
      </c>
      <c r="D13" s="115" t="s">
        <v>250</v>
      </c>
      <c r="E13" s="162">
        <f>'Set up &amp; marketing costs FY2014'!R92</f>
        <v>3916.4</v>
      </c>
      <c r="F13" s="166"/>
    </row>
    <row r="14" spans="1:6">
      <c r="A14" s="363"/>
      <c r="C14" s="115" t="s">
        <v>102</v>
      </c>
      <c r="D14" s="115" t="s">
        <v>102</v>
      </c>
      <c r="E14" s="162">
        <f>'Set up &amp; marketing costs FY2014'!O92</f>
        <v>318318.46999999997</v>
      </c>
      <c r="F14" s="166">
        <f>SUM(E11:E14)</f>
        <v>415179.00999999995</v>
      </c>
    </row>
    <row r="15" spans="1:6">
      <c r="A15" s="363"/>
      <c r="B15" s="115" t="s">
        <v>262</v>
      </c>
      <c r="C15" s="115" t="s">
        <v>252</v>
      </c>
      <c r="D15" s="135" t="s">
        <v>4</v>
      </c>
      <c r="E15" s="166">
        <f>SUMIF($C$4:$C$14,C15,$E$4:$E$14)</f>
        <v>199961.53999999998</v>
      </c>
      <c r="F15" s="115"/>
    </row>
    <row r="16" spans="1:6">
      <c r="A16" s="363"/>
      <c r="B16" s="115" t="s">
        <v>263</v>
      </c>
      <c r="C16" s="115" t="s">
        <v>102</v>
      </c>
      <c r="D16" s="135" t="s">
        <v>4</v>
      </c>
      <c r="E16" s="166">
        <f>SUMIF($C$4:$C$14,C16,$E$4:$E$14)</f>
        <v>372016.47</v>
      </c>
    </row>
    <row r="17" spans="1:13">
      <c r="A17" s="159"/>
      <c r="B17" s="115" t="s">
        <v>291</v>
      </c>
      <c r="C17" s="115"/>
      <c r="E17" s="166">
        <f>SUM(E15:E16)</f>
        <v>571978.01</v>
      </c>
    </row>
    <row r="18" spans="1:13">
      <c r="A18" s="159"/>
      <c r="B18" s="115"/>
      <c r="C18" s="115"/>
      <c r="E18" s="164"/>
    </row>
    <row r="19" spans="1:13">
      <c r="A19" s="363" t="s">
        <v>265</v>
      </c>
      <c r="C19" s="115" t="s">
        <v>249</v>
      </c>
      <c r="D19" s="115" t="s">
        <v>1</v>
      </c>
      <c r="E19" s="364" t="s">
        <v>292</v>
      </c>
      <c r="F19" s="364"/>
    </row>
    <row r="20" spans="1:13">
      <c r="A20" s="363"/>
      <c r="C20" s="115" t="s">
        <v>266</v>
      </c>
      <c r="D20" s="115" t="s">
        <v>266</v>
      </c>
      <c r="E20" s="166" t="s">
        <v>266</v>
      </c>
      <c r="F20" s="115" t="s">
        <v>70</v>
      </c>
    </row>
    <row r="21" spans="1:13">
      <c r="A21" s="363"/>
      <c r="B21" s="115" t="s">
        <v>74</v>
      </c>
      <c r="C21" s="164">
        <v>333994</v>
      </c>
      <c r="D21" s="164">
        <f>'Campaign efficiency FY 2013'!B68-'2014 -Total expenses'!C21</f>
        <v>1061057.7318901997</v>
      </c>
      <c r="E21" s="164">
        <f>'Campaign efficiency FY 2014'!E108-SUM(C21:D21)</f>
        <v>4986314.79</v>
      </c>
      <c r="F21" s="164">
        <f>'Campaign efficiency FY 2014'!F108</f>
        <v>8609217.3071428593</v>
      </c>
    </row>
    <row r="22" spans="1:13">
      <c r="A22" s="363"/>
      <c r="B22" s="115" t="s">
        <v>75</v>
      </c>
      <c r="C22" s="164">
        <v>25271</v>
      </c>
      <c r="D22" s="164">
        <f>'Campaign efficiency FY 2013'!B69-'2014 -Total expenses'!C22</f>
        <v>59672.000000000015</v>
      </c>
      <c r="E22" s="164">
        <f>'Campaign efficiency FY 2014'!E109-SUM(C22:D22)</f>
        <v>149754.79999999999</v>
      </c>
      <c r="F22" s="164">
        <f>'Campaign efficiency FY 2014'!F109</f>
        <v>45577.244566465684</v>
      </c>
    </row>
    <row r="23" spans="1:13">
      <c r="A23" s="363"/>
      <c r="B23" s="115" t="s">
        <v>76</v>
      </c>
      <c r="C23" s="164">
        <v>11740</v>
      </c>
      <c r="D23" s="164">
        <f>'Campaign efficiency FY 2013'!B70-'2014 -Total expenses'!C23</f>
        <v>56179.584170065122</v>
      </c>
      <c r="E23" s="164">
        <f>'Campaign efficiency FY 2014'!E110-SUM(C23:D23)</f>
        <v>135027.38925527985</v>
      </c>
      <c r="F23" s="164">
        <f>'Campaign efficiency FY 2014'!F110</f>
        <v>271696.8664220192</v>
      </c>
    </row>
    <row r="24" spans="1:13">
      <c r="A24" s="363"/>
      <c r="B24" s="115" t="s">
        <v>77</v>
      </c>
      <c r="C24" s="164">
        <v>1223</v>
      </c>
      <c r="D24" s="164">
        <f>'Campaign efficiency FY 2013'!B71-'2014 -Total expenses'!C24</f>
        <v>7551</v>
      </c>
      <c r="E24" s="164">
        <f>'Campaign efficiency FY 2014'!E111-SUM(C24:D24)</f>
        <v>36817.11</v>
      </c>
      <c r="F24" s="164">
        <f>'Campaign efficiency FY 2014'!F111</f>
        <v>99665.966129142194</v>
      </c>
    </row>
    <row r="25" spans="1:13">
      <c r="A25" s="363"/>
      <c r="B25" s="115" t="s">
        <v>78</v>
      </c>
      <c r="C25" s="135">
        <v>0</v>
      </c>
      <c r="D25" s="164">
        <f>'Campaign efficiency FY 2013'!B72-'2014 -Total expenses'!C25</f>
        <v>117787</v>
      </c>
      <c r="E25" s="164">
        <f>'Campaign efficiency FY 2014'!E112-SUM(C25:D25)</f>
        <v>334017.23</v>
      </c>
      <c r="F25" s="164">
        <f>'Campaign efficiency FY 2014'!F112</f>
        <v>283560.42418027762</v>
      </c>
      <c r="L25" s="187"/>
    </row>
    <row r="26" spans="1:13">
      <c r="A26" s="363"/>
      <c r="B26" s="115" t="s">
        <v>79</v>
      </c>
      <c r="C26" s="135">
        <v>0</v>
      </c>
      <c r="D26" s="164">
        <f>'Campaign efficiency FY 2013'!B73-'2014 -Total expenses'!C26</f>
        <v>2319</v>
      </c>
      <c r="E26" s="164">
        <f>'Campaign efficiency FY 2014'!E113-SUM(C26:D26)</f>
        <v>46282.879999999997</v>
      </c>
      <c r="F26" s="164">
        <f>'Campaign efficiency FY 2014'!F113</f>
        <v>38282.180461827011</v>
      </c>
      <c r="L26" s="187"/>
      <c r="M26" s="187"/>
    </row>
    <row r="27" spans="1:13">
      <c r="A27" s="363"/>
      <c r="B27" s="159" t="s">
        <v>261</v>
      </c>
      <c r="C27" s="166">
        <f>SUM(C21:C26)</f>
        <v>372228</v>
      </c>
      <c r="D27" s="166">
        <f>SUM(D21:D26)</f>
        <v>1304566.3160602648</v>
      </c>
      <c r="E27" s="166">
        <f>SUM(E21:E26)</f>
        <v>5688214.1992552793</v>
      </c>
      <c r="F27" s="166">
        <f>SUM(F21:F26)</f>
        <v>9347999.9889025912</v>
      </c>
      <c r="L27" s="187"/>
    </row>
    <row r="28" spans="1:13">
      <c r="A28" s="363"/>
      <c r="B28" s="159" t="s">
        <v>267</v>
      </c>
      <c r="C28" s="166">
        <f>SUM(C27:E27)</f>
        <v>7365008.5153155439</v>
      </c>
      <c r="D28" s="166"/>
      <c r="E28" s="166"/>
      <c r="F28" s="166"/>
    </row>
    <row r="29" spans="1:13">
      <c r="A29" s="363"/>
      <c r="B29" s="159" t="s">
        <v>268</v>
      </c>
      <c r="C29" s="166">
        <f>SUM(C27:F27)</f>
        <v>16713008.504218135</v>
      </c>
      <c r="E29" s="164"/>
    </row>
    <row r="30" spans="1:13">
      <c r="A30" s="159"/>
      <c r="B30" s="159"/>
      <c r="C30" s="166"/>
      <c r="E30" s="164"/>
    </row>
    <row r="31" spans="1:13">
      <c r="C31" s="115" t="s">
        <v>249</v>
      </c>
      <c r="D31" s="115" t="s">
        <v>1</v>
      </c>
      <c r="E31" s="364" t="s">
        <v>292</v>
      </c>
      <c r="F31" s="364"/>
    </row>
    <row r="32" spans="1:13">
      <c r="A32" s="365" t="s">
        <v>269</v>
      </c>
      <c r="B32" s="115"/>
      <c r="C32" s="115" t="s">
        <v>266</v>
      </c>
      <c r="D32" s="115" t="s">
        <v>266</v>
      </c>
      <c r="E32" s="166" t="s">
        <v>266</v>
      </c>
      <c r="F32" s="115" t="s">
        <v>70</v>
      </c>
      <c r="G32" s="115" t="s">
        <v>267</v>
      </c>
      <c r="H32" s="115" t="s">
        <v>270</v>
      </c>
      <c r="I32" s="146" t="s">
        <v>271</v>
      </c>
      <c r="J32" s="146" t="s">
        <v>272</v>
      </c>
    </row>
    <row r="33" spans="1:10">
      <c r="A33" s="365"/>
      <c r="B33" s="115" t="s">
        <v>74</v>
      </c>
      <c r="C33" s="150">
        <f>C21</f>
        <v>333994</v>
      </c>
      <c r="D33" s="150">
        <f t="shared" ref="D33:F33" si="0">D21</f>
        <v>1061057.7318901997</v>
      </c>
      <c r="E33" s="150">
        <f t="shared" si="0"/>
        <v>4986314.79</v>
      </c>
      <c r="F33" s="150">
        <f t="shared" si="0"/>
        <v>8609217.3071428593</v>
      </c>
      <c r="G33" s="179">
        <f>SUM(C33:E33)</f>
        <v>6381366.5218901997</v>
      </c>
      <c r="H33" s="179">
        <f>SUM(C33:F33)</f>
        <v>14990583.829033058</v>
      </c>
      <c r="I33" s="151">
        <f t="shared" ref="I33:I40" si="1">G33/$G$42</f>
        <v>0.8040036985745671</v>
      </c>
      <c r="J33" s="151">
        <f t="shared" ref="J33:J40" si="2">H33/$H$42</f>
        <v>0.86726037169321668</v>
      </c>
    </row>
    <row r="34" spans="1:10">
      <c r="A34" s="365"/>
      <c r="B34" s="115" t="s">
        <v>75</v>
      </c>
      <c r="C34" s="150">
        <f t="shared" ref="C34:F38" si="3">C22</f>
        <v>25271</v>
      </c>
      <c r="D34" s="150">
        <f t="shared" si="3"/>
        <v>59672.000000000015</v>
      </c>
      <c r="E34" s="150">
        <f t="shared" si="3"/>
        <v>149754.79999999999</v>
      </c>
      <c r="F34" s="150">
        <f t="shared" si="3"/>
        <v>45577.244566465684</v>
      </c>
      <c r="G34" s="179">
        <f t="shared" ref="G34:G40" si="4">SUM(C34:E34)</f>
        <v>234697.8</v>
      </c>
      <c r="H34" s="179">
        <f t="shared" ref="H34:H40" si="5">SUM(C34:F34)</f>
        <v>280275.04456646566</v>
      </c>
      <c r="I34" s="151">
        <f t="shared" si="1"/>
        <v>2.9570139655827284E-2</v>
      </c>
      <c r="J34" s="151">
        <f t="shared" si="2"/>
        <v>1.6214941465873833E-2</v>
      </c>
    </row>
    <row r="35" spans="1:10">
      <c r="A35" s="365"/>
      <c r="B35" s="115" t="s">
        <v>76</v>
      </c>
      <c r="C35" s="150">
        <f t="shared" si="3"/>
        <v>11740</v>
      </c>
      <c r="D35" s="150">
        <f t="shared" si="3"/>
        <v>56179.584170065122</v>
      </c>
      <c r="E35" s="150">
        <f t="shared" si="3"/>
        <v>135027.38925527985</v>
      </c>
      <c r="F35" s="150">
        <f t="shared" si="3"/>
        <v>271696.8664220192</v>
      </c>
      <c r="G35" s="179">
        <f t="shared" si="4"/>
        <v>202946.97342534497</v>
      </c>
      <c r="H35" s="179">
        <f t="shared" si="5"/>
        <v>474643.83984736417</v>
      </c>
      <c r="I35" s="151">
        <f t="shared" si="1"/>
        <v>2.5569776738064522E-2</v>
      </c>
      <c r="J35" s="151">
        <f t="shared" si="2"/>
        <v>2.7459890666211146E-2</v>
      </c>
    </row>
    <row r="36" spans="1:10">
      <c r="A36" s="365"/>
      <c r="B36" s="115" t="s">
        <v>77</v>
      </c>
      <c r="C36" s="150">
        <f t="shared" si="3"/>
        <v>1223</v>
      </c>
      <c r="D36" s="150">
        <f t="shared" si="3"/>
        <v>7551</v>
      </c>
      <c r="E36" s="150">
        <f t="shared" si="3"/>
        <v>36817.11</v>
      </c>
      <c r="F36" s="150">
        <f t="shared" si="3"/>
        <v>99665.966129142194</v>
      </c>
      <c r="G36" s="179">
        <f t="shared" si="4"/>
        <v>45591.11</v>
      </c>
      <c r="H36" s="179">
        <f t="shared" si="5"/>
        <v>145257.07612914219</v>
      </c>
      <c r="I36" s="151">
        <f t="shared" si="1"/>
        <v>5.7441334761731211E-3</v>
      </c>
      <c r="J36" s="151">
        <f t="shared" si="2"/>
        <v>8.4036557396014091E-3</v>
      </c>
    </row>
    <row r="37" spans="1:10">
      <c r="A37" s="365"/>
      <c r="B37" s="115" t="s">
        <v>78</v>
      </c>
      <c r="C37" s="177">
        <f t="shared" si="3"/>
        <v>0</v>
      </c>
      <c r="D37" s="150">
        <f t="shared" si="3"/>
        <v>117787</v>
      </c>
      <c r="E37" s="150">
        <f t="shared" si="3"/>
        <v>334017.23</v>
      </c>
      <c r="F37" s="150">
        <f t="shared" si="3"/>
        <v>283560.42418027762</v>
      </c>
      <c r="G37" s="179">
        <f t="shared" si="4"/>
        <v>451804.23</v>
      </c>
      <c r="H37" s="179">
        <f t="shared" si="5"/>
        <v>735364.6541802776</v>
      </c>
      <c r="I37" s="151">
        <f t="shared" si="1"/>
        <v>5.6923900344159645E-2</v>
      </c>
      <c r="J37" s="151">
        <f t="shared" si="2"/>
        <v>4.2543548042423267E-2</v>
      </c>
    </row>
    <row r="38" spans="1:10">
      <c r="A38" s="365"/>
      <c r="B38" s="115" t="s">
        <v>79</v>
      </c>
      <c r="C38" s="150">
        <f t="shared" si="3"/>
        <v>0</v>
      </c>
      <c r="D38" s="150">
        <f t="shared" si="3"/>
        <v>2319</v>
      </c>
      <c r="E38" s="150">
        <f t="shared" si="3"/>
        <v>46282.879999999997</v>
      </c>
      <c r="F38" s="150">
        <f t="shared" si="3"/>
        <v>38282.180461827011</v>
      </c>
      <c r="G38" s="179">
        <f t="shared" si="4"/>
        <v>48601.88</v>
      </c>
      <c r="H38" s="179">
        <f t="shared" si="5"/>
        <v>86884.060461827001</v>
      </c>
      <c r="I38" s="151">
        <f t="shared" si="1"/>
        <v>6.1234676214935073E-3</v>
      </c>
      <c r="J38" s="151">
        <f t="shared" si="2"/>
        <v>5.0265622359819979E-3</v>
      </c>
    </row>
    <row r="39" spans="1:10">
      <c r="A39" s="365"/>
      <c r="B39" s="115" t="s">
        <v>252</v>
      </c>
      <c r="C39" s="135">
        <f>SUMIF($C$4:$C$7,C15,$E$4:$E$7)</f>
        <v>11966</v>
      </c>
      <c r="D39" s="135">
        <f>SUMIF($C$8:$C$10,C15,$E$8:$E$10)</f>
        <v>91135</v>
      </c>
      <c r="E39" s="137">
        <f>SUMIF($C$11:$C$14,C15,$E$11:$E$14)</f>
        <v>96860.54</v>
      </c>
      <c r="F39" s="149" t="s">
        <v>4</v>
      </c>
      <c r="G39" s="179">
        <f t="shared" si="4"/>
        <v>199961.53999999998</v>
      </c>
      <c r="H39" s="179">
        <f t="shared" si="5"/>
        <v>199961.53999999998</v>
      </c>
      <c r="I39" s="151">
        <f t="shared" si="1"/>
        <v>2.5193634808653057E-2</v>
      </c>
      <c r="J39" s="151">
        <f t="shared" si="2"/>
        <v>1.1568510038206702E-2</v>
      </c>
    </row>
    <row r="40" spans="1:10">
      <c r="A40" s="365"/>
      <c r="B40" s="178" t="s">
        <v>102</v>
      </c>
      <c r="C40" s="135">
        <f>SUMIF($C$4:$C$7,C16,$E$4:$E$7)</f>
        <v>20000</v>
      </c>
      <c r="D40" s="135">
        <f>SUMIF($C$8:$C$10,C16,$E$8:$E$10)</f>
        <v>33698</v>
      </c>
      <c r="E40" s="137">
        <f>SUMIF($C$11:$C$14,C16,$E$11:$E$14)</f>
        <v>318318.46999999997</v>
      </c>
      <c r="F40" s="184" t="s">
        <v>4</v>
      </c>
      <c r="G40" s="179">
        <f t="shared" si="4"/>
        <v>372016.47</v>
      </c>
      <c r="H40" s="179">
        <f t="shared" si="5"/>
        <v>372016.47</v>
      </c>
      <c r="I40" s="151">
        <f t="shared" si="1"/>
        <v>4.6871248781061775E-2</v>
      </c>
      <c r="J40" s="151">
        <f t="shared" si="2"/>
        <v>2.1522520118484895E-2</v>
      </c>
    </row>
    <row r="41" spans="1:10">
      <c r="A41" s="365"/>
      <c r="B41" s="115" t="s">
        <v>261</v>
      </c>
      <c r="C41" s="180">
        <f>SUM(C33:C40)</f>
        <v>404194</v>
      </c>
      <c r="D41" s="180">
        <f>SUM(D33:D40)</f>
        <v>1429399.3160602648</v>
      </c>
      <c r="E41" s="180">
        <f>SUM(E33:E40)</f>
        <v>6103393.209255279</v>
      </c>
      <c r="F41" s="180">
        <f>SUM(F33:F40)</f>
        <v>9347999.9889025912</v>
      </c>
      <c r="G41" s="151"/>
      <c r="H41" s="151"/>
    </row>
    <row r="42" spans="1:10">
      <c r="A42" s="365"/>
      <c r="B42" s="115" t="s">
        <v>273</v>
      </c>
      <c r="C42" s="150"/>
      <c r="D42" s="150"/>
      <c r="E42" s="150"/>
      <c r="F42" s="150"/>
      <c r="G42" s="179">
        <f>SUM(C33:E40)</f>
        <v>7936986.5253155446</v>
      </c>
      <c r="H42" s="179">
        <f>SUM(C33:F40)</f>
        <v>17284986.514218137</v>
      </c>
    </row>
    <row r="43" spans="1:10">
      <c r="A43" s="158"/>
      <c r="B43" s="115"/>
      <c r="C43" s="150"/>
      <c r="D43" s="150"/>
      <c r="E43" s="150"/>
      <c r="F43" s="150"/>
      <c r="G43" s="151"/>
      <c r="H43" s="151"/>
    </row>
    <row r="44" spans="1:10" ht="28">
      <c r="A44" s="181" t="s">
        <v>251</v>
      </c>
      <c r="B44" s="185" t="s">
        <v>296</v>
      </c>
      <c r="C44" s="153" t="s">
        <v>288</v>
      </c>
      <c r="E44" s="150"/>
      <c r="F44" s="150"/>
      <c r="G44" s="151"/>
      <c r="H44" s="151"/>
    </row>
    <row r="45" spans="1:10">
      <c r="B45" s="186" t="s">
        <v>289</v>
      </c>
      <c r="C45" s="153" t="s">
        <v>290</v>
      </c>
      <c r="E45" s="150"/>
      <c r="F45" s="150"/>
      <c r="G45" s="151"/>
      <c r="H45" s="151"/>
    </row>
    <row r="46" spans="1:10">
      <c r="B46" s="135" t="s">
        <v>294</v>
      </c>
      <c r="C46" s="135" t="s">
        <v>283</v>
      </c>
    </row>
    <row r="47" spans="1:10">
      <c r="B47" s="135" t="s">
        <v>295</v>
      </c>
      <c r="C47" s="135" t="s">
        <v>284</v>
      </c>
      <c r="E47" s="152"/>
      <c r="F47" s="152"/>
    </row>
    <row r="52" spans="2:8">
      <c r="B52" s="161"/>
    </row>
    <row r="53" spans="2:8">
      <c r="B53" s="165"/>
      <c r="C53" s="115"/>
      <c r="D53" s="115"/>
      <c r="E53" s="115"/>
      <c r="F53" s="115"/>
      <c r="G53" s="115"/>
      <c r="H53" s="115"/>
    </row>
    <row r="54" spans="2:8">
      <c r="B54" s="115"/>
    </row>
    <row r="55" spans="2:8">
      <c r="B55" s="115"/>
      <c r="C55" s="150"/>
      <c r="D55" s="150"/>
      <c r="E55" s="150"/>
      <c r="F55" s="150"/>
      <c r="G55" s="151"/>
      <c r="H55" s="151"/>
    </row>
    <row r="56" spans="2:8">
      <c r="B56" s="115"/>
      <c r="C56" s="150"/>
      <c r="D56" s="150"/>
      <c r="E56" s="150"/>
      <c r="F56" s="150"/>
      <c r="G56" s="151"/>
      <c r="H56" s="151"/>
    </row>
    <row r="57" spans="2:8">
      <c r="B57" s="115"/>
      <c r="C57" s="150"/>
      <c r="D57" s="150"/>
      <c r="E57" s="150"/>
      <c r="F57" s="150"/>
      <c r="G57" s="151"/>
      <c r="H57" s="151"/>
    </row>
    <row r="58" spans="2:8">
      <c r="B58" s="115"/>
      <c r="C58" s="150"/>
      <c r="D58" s="150"/>
      <c r="E58" s="150"/>
      <c r="F58" s="150"/>
      <c r="G58" s="151"/>
      <c r="H58" s="151"/>
    </row>
    <row r="59" spans="2:8">
      <c r="B59" s="115"/>
      <c r="C59" s="150"/>
      <c r="D59" s="150"/>
      <c r="E59" s="150"/>
      <c r="F59" s="150"/>
      <c r="G59" s="151"/>
      <c r="H59" s="151"/>
    </row>
    <row r="60" spans="2:8">
      <c r="B60" s="115"/>
      <c r="C60" s="150"/>
      <c r="D60" s="150"/>
      <c r="E60" s="150"/>
      <c r="F60" s="150"/>
      <c r="G60" s="151"/>
      <c r="H60" s="151"/>
    </row>
    <row r="61" spans="2:8">
      <c r="B61" s="115"/>
      <c r="C61" s="150"/>
      <c r="D61" s="150"/>
      <c r="E61" s="150"/>
      <c r="F61" s="150"/>
      <c r="G61" s="151"/>
      <c r="H61" s="151"/>
    </row>
    <row r="62" spans="2:8">
      <c r="B62" s="115"/>
      <c r="C62" s="150"/>
      <c r="D62" s="150"/>
      <c r="E62" s="150"/>
      <c r="F62" s="150"/>
      <c r="G62" s="151"/>
      <c r="H62" s="151"/>
    </row>
    <row r="63" spans="2:8">
      <c r="C63" s="150"/>
      <c r="D63" s="150"/>
      <c r="E63" s="150"/>
      <c r="F63" s="150"/>
      <c r="G63" s="151"/>
      <c r="H63" s="151"/>
    </row>
  </sheetData>
  <mergeCells count="5">
    <mergeCell ref="A4:A16"/>
    <mergeCell ref="A19:A29"/>
    <mergeCell ref="E19:F19"/>
    <mergeCell ref="E31:F31"/>
    <mergeCell ref="A32:A42"/>
  </mergeCells>
  <pageMargins left="0.75" right="0.75" top="1" bottom="1" header="0.5" footer="0.5"/>
  <pageSetup orientation="portrait" horizontalDpi="4294967292" verticalDpi="4294967292"/>
  <legacy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16</vt:i4>
      </vt:variant>
    </vt:vector>
  </HeadingPairs>
  <TitlesOfParts>
    <vt:vector size="16" baseType="lpstr">
      <vt:lpstr>2015-Total spend + efficiency</vt:lpstr>
      <vt:lpstr>2015-Past P&amp;L</vt:lpstr>
      <vt:lpstr>2015-Future budget</vt:lpstr>
      <vt:lpstr>2015-Commitments by month</vt:lpstr>
      <vt:lpstr>2015-Balance Sheet</vt:lpstr>
      <vt:lpstr>2015-Fundraising costs</vt:lpstr>
      <vt:lpstr>2015-Rate of money moved</vt:lpstr>
      <vt:lpstr>2015-RFMF scenarios</vt:lpstr>
      <vt:lpstr>2014 -Total expenses</vt:lpstr>
      <vt:lpstr>2014 -Revenue and transfers</vt:lpstr>
      <vt:lpstr>Campaign efficiency FY 2014</vt:lpstr>
      <vt:lpstr>Campaign efficiency FY 2013</vt:lpstr>
      <vt:lpstr>Set up &amp; marketing costs FY2014</vt:lpstr>
      <vt:lpstr>Set up &amp; marketing costs FY2013</vt:lpstr>
      <vt:lpstr>Funding in the bank</vt:lpstr>
      <vt:lpstr>20141017 RFMF scenarios</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2015-09-28T02:25:21Z</cp:lastPrinted>
  <dcterms:created xsi:type="dcterms:W3CDTF">2014-11-11T04:04:07Z</dcterms:created>
  <dcterms:modified xsi:type="dcterms:W3CDTF">2015-12-19T22:37:54Z</dcterms:modified>
</cp:coreProperties>
</file>