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filterPrivacy="1" autoCompressPictures="0"/>
  <bookViews>
    <workbookView xWindow="-20" yWindow="160" windowWidth="22980" windowHeight="14740" activeTab="3"/>
  </bookViews>
  <sheets>
    <sheet name="Cost Share Personnel 2014-20125" sheetId="1" r:id="rId1"/>
    <sheet name="Cost Share Offices&amp;Residence" sheetId="6" r:id="rId2"/>
    <sheet name="Cars 2014-2015" sheetId="7" r:id="rId3"/>
    <sheet name="Grants Rates" sheetId="4" r:id="rId4"/>
  </sheets>
  <definedNames>
    <definedName name="_xlnm._FilterDatabase" localSheetId="2" hidden="1">'Cars 2014-2015'!$A$6:$J$28</definedName>
    <definedName name="_xlnm._FilterDatabase" localSheetId="1" hidden="1">'Cost Share Offices&amp;Residence'!$A$6:$L$16</definedName>
    <definedName name="_xlnm._FilterDatabase" localSheetId="0" hidden="1">'Cost Share Personnel 2014-20125'!$A$6:$L$111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7" i="1" l="1"/>
  <c r="B9" i="4"/>
  <c r="B10" i="4"/>
  <c r="C9" i="4"/>
  <c r="J107" i="1"/>
  <c r="J3" i="1"/>
  <c r="N81" i="1"/>
  <c r="N75" i="1"/>
  <c r="N69" i="1"/>
  <c r="N63" i="1"/>
  <c r="N57" i="1"/>
  <c r="N45" i="1"/>
  <c r="N51" i="1"/>
  <c r="J4" i="6"/>
  <c r="I2" i="1"/>
  <c r="E10" i="6"/>
  <c r="O16" i="6"/>
  <c r="O18" i="6"/>
  <c r="P17" i="6"/>
  <c r="J15" i="6"/>
  <c r="J16" i="6"/>
  <c r="P15" i="6"/>
  <c r="G15" i="6"/>
  <c r="P16" i="6"/>
  <c r="O35" i="6"/>
  <c r="P34" i="6"/>
  <c r="J12" i="6"/>
  <c r="K9" i="6"/>
  <c r="L9" i="6"/>
  <c r="E12" i="6"/>
  <c r="J10" i="6"/>
  <c r="O22" i="6"/>
  <c r="O24" i="6"/>
  <c r="P23" i="6"/>
  <c r="O11" i="6"/>
  <c r="P9" i="6"/>
  <c r="I8" i="6"/>
  <c r="L11" i="6"/>
  <c r="K11" i="6"/>
  <c r="L10" i="6"/>
  <c r="K10" i="6"/>
  <c r="I10" i="6"/>
  <c r="H10" i="6"/>
  <c r="G10" i="6"/>
  <c r="L8" i="6"/>
  <c r="K8" i="6"/>
  <c r="P28" i="6"/>
  <c r="J14" i="6"/>
  <c r="J13" i="6"/>
  <c r="I9" i="6"/>
  <c r="I11" i="6"/>
  <c r="P31" i="6"/>
  <c r="P32" i="6"/>
  <c r="P29" i="6"/>
  <c r="P33" i="6"/>
  <c r="P30" i="6"/>
  <c r="P21" i="6"/>
  <c r="P22" i="6"/>
  <c r="P10" i="6"/>
  <c r="P8" i="6"/>
  <c r="F11" i="6"/>
  <c r="F9" i="6"/>
  <c r="F8" i="6"/>
  <c r="J8" i="6"/>
  <c r="J11" i="6"/>
  <c r="J9" i="6"/>
  <c r="H14" i="6"/>
  <c r="H13" i="6"/>
  <c r="H140" i="1"/>
  <c r="E137" i="1"/>
  <c r="H137" i="1"/>
  <c r="E141" i="1"/>
  <c r="H141" i="1"/>
  <c r="H135" i="1"/>
  <c r="L135" i="1"/>
  <c r="J135" i="1"/>
  <c r="E132" i="1"/>
  <c r="E136" i="1"/>
  <c r="E20" i="1"/>
  <c r="J130" i="1"/>
  <c r="E127" i="1"/>
  <c r="E129" i="1"/>
  <c r="J129" i="1"/>
  <c r="L125" i="1"/>
  <c r="J125" i="1"/>
  <c r="G125" i="1"/>
  <c r="E122" i="1"/>
  <c r="J122" i="1"/>
  <c r="L122" i="1"/>
  <c r="E126" i="1"/>
  <c r="L126" i="1"/>
  <c r="J120" i="1"/>
  <c r="I120" i="1"/>
  <c r="F120" i="1"/>
  <c r="E117" i="1"/>
  <c r="F117" i="1"/>
  <c r="J115" i="1"/>
  <c r="I115" i="1"/>
  <c r="F115" i="1"/>
  <c r="E112" i="1"/>
  <c r="I112" i="1"/>
  <c r="J117" i="1"/>
  <c r="E121" i="1"/>
  <c r="E139" i="1"/>
  <c r="H139" i="1"/>
  <c r="E138" i="1"/>
  <c r="H138" i="1"/>
  <c r="E113" i="1"/>
  <c r="J113" i="1"/>
  <c r="J127" i="1"/>
  <c r="J112" i="1"/>
  <c r="G122" i="1"/>
  <c r="H132" i="1"/>
  <c r="G126" i="1"/>
  <c r="L132" i="1"/>
  <c r="J126" i="1"/>
  <c r="E116" i="1"/>
  <c r="I116" i="1"/>
  <c r="I117" i="1"/>
  <c r="J136" i="1"/>
  <c r="L136" i="1"/>
  <c r="H136" i="1"/>
  <c r="F112" i="1"/>
  <c r="I113" i="1"/>
  <c r="E114" i="1"/>
  <c r="F121" i="1"/>
  <c r="J132" i="1"/>
  <c r="E133" i="1"/>
  <c r="H133" i="1"/>
  <c r="E134" i="1"/>
  <c r="H134" i="1"/>
  <c r="E131" i="1"/>
  <c r="J131" i="1"/>
  <c r="E128" i="1"/>
  <c r="J128" i="1"/>
  <c r="E123" i="1"/>
  <c r="E124" i="1"/>
  <c r="E118" i="1"/>
  <c r="E119" i="1"/>
  <c r="E111" i="1"/>
  <c r="F111" i="1"/>
  <c r="E102" i="1"/>
  <c r="E106" i="1"/>
  <c r="F106" i="1"/>
  <c r="E87" i="1"/>
  <c r="E91" i="1"/>
  <c r="G91" i="1"/>
  <c r="E92" i="1"/>
  <c r="E94" i="1"/>
  <c r="H94" i="1"/>
  <c r="E101" i="1"/>
  <c r="H101" i="1"/>
  <c r="E99" i="1"/>
  <c r="H99" i="1"/>
  <c r="E98" i="1"/>
  <c r="H98" i="1"/>
  <c r="L92" i="1"/>
  <c r="G90" i="1"/>
  <c r="J121" i="1"/>
  <c r="I121" i="1"/>
  <c r="F113" i="1"/>
  <c r="E96" i="1"/>
  <c r="H96" i="1"/>
  <c r="F116" i="1"/>
  <c r="J116" i="1"/>
  <c r="I118" i="1"/>
  <c r="F118" i="1"/>
  <c r="J118" i="1"/>
  <c r="L124" i="1"/>
  <c r="J124" i="1"/>
  <c r="G124" i="1"/>
  <c r="J114" i="1"/>
  <c r="I114" i="1"/>
  <c r="F114" i="1"/>
  <c r="J123" i="1"/>
  <c r="G123" i="1"/>
  <c r="L123" i="1"/>
  <c r="J119" i="1"/>
  <c r="I119" i="1"/>
  <c r="F119" i="1"/>
  <c r="J134" i="1"/>
  <c r="L134" i="1"/>
  <c r="L133" i="1"/>
  <c r="J133" i="1"/>
  <c r="E109" i="1"/>
  <c r="E108" i="1"/>
  <c r="E104" i="1"/>
  <c r="E103" i="1"/>
  <c r="E88" i="1"/>
  <c r="G88" i="1"/>
  <c r="E89" i="1"/>
  <c r="G89" i="1"/>
  <c r="E93" i="1"/>
  <c r="H92" i="1"/>
  <c r="J98" i="1"/>
  <c r="J104" i="1"/>
  <c r="I104" i="1"/>
  <c r="J109" i="1"/>
  <c r="J93" i="1"/>
  <c r="H93" i="1"/>
  <c r="G87" i="1"/>
  <c r="L91" i="1"/>
  <c r="L90" i="1"/>
  <c r="L89" i="1"/>
  <c r="L88" i="1"/>
  <c r="E81" i="1"/>
  <c r="E80" i="1"/>
  <c r="E75" i="1"/>
  <c r="E74" i="1"/>
  <c r="E69" i="1"/>
  <c r="E68" i="1"/>
  <c r="E63" i="1"/>
  <c r="E62" i="1"/>
  <c r="H31" i="1"/>
  <c r="G31" i="1"/>
  <c r="H30" i="1"/>
  <c r="G30" i="1"/>
  <c r="H29" i="1"/>
  <c r="G29" i="1"/>
  <c r="H28" i="1"/>
  <c r="G28" i="1"/>
  <c r="E27" i="1"/>
  <c r="G27" i="1"/>
  <c r="E26" i="1"/>
  <c r="H26" i="1"/>
  <c r="E57" i="1"/>
  <c r="E56" i="1"/>
  <c r="E51" i="1"/>
  <c r="E50" i="1"/>
  <c r="E45" i="1"/>
  <c r="E44" i="1"/>
  <c r="I34" i="1"/>
  <c r="I35" i="1"/>
  <c r="I36" i="1"/>
  <c r="I37" i="1"/>
  <c r="J40" i="1"/>
  <c r="E39" i="1"/>
  <c r="E38" i="1"/>
  <c r="J34" i="1"/>
  <c r="E33" i="1"/>
  <c r="I33" i="1"/>
  <c r="E32" i="1"/>
  <c r="I32" i="1"/>
  <c r="L12" i="1"/>
  <c r="K12" i="1"/>
  <c r="L11" i="1"/>
  <c r="K11" i="1"/>
  <c r="L10" i="1"/>
  <c r="K10" i="1"/>
  <c r="L9" i="1"/>
  <c r="K9" i="1"/>
  <c r="L8" i="1"/>
  <c r="K8" i="1"/>
  <c r="J22" i="1"/>
  <c r="I22" i="1"/>
  <c r="H22" i="1"/>
  <c r="J16" i="1"/>
  <c r="I16" i="1"/>
  <c r="J10" i="1"/>
  <c r="I10" i="1"/>
  <c r="H10" i="1"/>
  <c r="G10" i="1"/>
  <c r="G25" i="1"/>
  <c r="F25" i="1"/>
  <c r="G24" i="1"/>
  <c r="F24" i="1"/>
  <c r="G23" i="1"/>
  <c r="F23" i="1"/>
  <c r="G26" i="1"/>
  <c r="H27" i="1"/>
  <c r="E21" i="1"/>
  <c r="G21" i="1"/>
  <c r="F21" i="1"/>
  <c r="E15" i="1"/>
  <c r="E9" i="1"/>
  <c r="E14" i="1"/>
  <c r="E8" i="1"/>
  <c r="C8" i="4"/>
  <c r="I102" i="1"/>
  <c r="I107" i="1"/>
  <c r="I103" i="1"/>
  <c r="I108" i="1"/>
  <c r="I11" i="1"/>
  <c r="I18" i="1"/>
  <c r="I13" i="1"/>
  <c r="I12" i="1"/>
  <c r="I17" i="1"/>
  <c r="I19" i="1"/>
  <c r="I8" i="1"/>
  <c r="I14" i="1"/>
  <c r="I9" i="1"/>
  <c r="I15" i="1"/>
  <c r="C7" i="4"/>
  <c r="C13" i="4"/>
  <c r="C12" i="4"/>
  <c r="C5" i="4"/>
  <c r="F14" i="1"/>
  <c r="C6" i="4"/>
  <c r="H107" i="1"/>
  <c r="H102" i="1"/>
  <c r="H103" i="1"/>
  <c r="H108" i="1"/>
  <c r="J102" i="1"/>
  <c r="J103" i="1"/>
  <c r="J108" i="1"/>
  <c r="J8" i="1"/>
  <c r="G107" i="1"/>
  <c r="G102" i="1"/>
  <c r="G108" i="1"/>
  <c r="G103" i="1"/>
  <c r="F102" i="1"/>
  <c r="F107" i="1"/>
  <c r="F103" i="1"/>
  <c r="F108" i="1"/>
  <c r="F15" i="1"/>
  <c r="F9" i="1"/>
  <c r="F8" i="1"/>
  <c r="H9" i="1"/>
  <c r="H8" i="1"/>
  <c r="G9" i="1"/>
  <c r="J17" i="1"/>
  <c r="J19" i="1"/>
  <c r="J13" i="1"/>
  <c r="J18" i="1"/>
  <c r="J12" i="1"/>
  <c r="J11" i="1"/>
  <c r="J9" i="1"/>
  <c r="G18" i="1"/>
  <c r="G13" i="1"/>
  <c r="G12" i="1"/>
  <c r="G11" i="1"/>
  <c r="G19" i="1"/>
  <c r="G17" i="1"/>
  <c r="H19" i="1"/>
  <c r="H12" i="1"/>
  <c r="H11" i="1"/>
  <c r="H18" i="1"/>
  <c r="H13" i="1"/>
  <c r="H17" i="1"/>
  <c r="H15" i="1"/>
  <c r="G8" i="1"/>
  <c r="G4" i="1"/>
  <c r="G14" i="1"/>
  <c r="F18" i="1"/>
  <c r="F13" i="1"/>
  <c r="F12" i="1"/>
  <c r="F11" i="1"/>
  <c r="F17" i="1"/>
  <c r="F19" i="1"/>
  <c r="J15" i="1"/>
  <c r="J14" i="1"/>
  <c r="H14" i="1"/>
  <c r="G15" i="1"/>
</calcChain>
</file>

<file path=xl/sharedStrings.xml><?xml version="1.0" encoding="utf-8"?>
<sst xmlns="http://schemas.openxmlformats.org/spreadsheetml/2006/main" count="895" uniqueCount="220">
  <si>
    <t>1K</t>
  </si>
  <si>
    <t>Staff accommodation: rent, running &amp; supplies &amp; other locations overnights</t>
  </si>
  <si>
    <t>1L</t>
  </si>
  <si>
    <t>Staff accommodation: equipment, furniture, maintenance</t>
  </si>
  <si>
    <t>2C</t>
  </si>
  <si>
    <t>Administrator 50%</t>
  </si>
  <si>
    <t>2D</t>
  </si>
  <si>
    <t xml:space="preserve">Logistic Coordinator 25% </t>
  </si>
  <si>
    <t>2M</t>
  </si>
  <si>
    <t>Cleaner/cooker 100%</t>
  </si>
  <si>
    <t>3A</t>
  </si>
  <si>
    <t>Office rent 50%</t>
  </si>
  <si>
    <t>3B</t>
  </si>
  <si>
    <t>Office running costs (utilities and maintenance)</t>
  </si>
  <si>
    <t>3C</t>
  </si>
  <si>
    <t>Office supplies, printing &amp; copying</t>
  </si>
  <si>
    <t>3D</t>
  </si>
  <si>
    <t>Office equipment and furniture</t>
  </si>
  <si>
    <t>3E</t>
  </si>
  <si>
    <t>Communication equipment</t>
  </si>
  <si>
    <t>3F</t>
  </si>
  <si>
    <t>Communications running costs (telephone, sat phone, internet, courrier)</t>
  </si>
  <si>
    <t>3G</t>
  </si>
  <si>
    <t>Computers, software, accessories, licences &amp; maintenance</t>
  </si>
  <si>
    <t>5E</t>
  </si>
  <si>
    <t>National flights - Provincial travel</t>
  </si>
  <si>
    <t>Budget Line</t>
  </si>
  <si>
    <t>Budget Name</t>
  </si>
  <si>
    <t>Comments</t>
  </si>
  <si>
    <t>WL5,PSI,EF2</t>
  </si>
  <si>
    <t>Moises position</t>
  </si>
  <si>
    <t>Nil position</t>
  </si>
  <si>
    <t>WL5,WL6,WL7,EM,EF2,PSI</t>
  </si>
  <si>
    <t>Fiscal Year 2014-2015</t>
  </si>
  <si>
    <t>Present</t>
  </si>
  <si>
    <t>WL5,PSI,EF1</t>
  </si>
  <si>
    <t>WL5</t>
  </si>
  <si>
    <t>WL5,PSI</t>
  </si>
  <si>
    <t xml:space="preserve">Office </t>
  </si>
  <si>
    <t>CD Residence</t>
  </si>
  <si>
    <t>Staff Residence</t>
  </si>
  <si>
    <t>Additional Residence</t>
  </si>
  <si>
    <t>WL5,EF1</t>
  </si>
  <si>
    <t>PSI,WL5</t>
  </si>
  <si>
    <t>?</t>
  </si>
  <si>
    <t>to be shared with other Donors</t>
  </si>
  <si>
    <t>Shared by PSI and EF2</t>
  </si>
  <si>
    <t>Shared by WL6 and EF2</t>
  </si>
  <si>
    <t>is being shared with all donors</t>
  </si>
  <si>
    <t>with in Huambo Program</t>
  </si>
  <si>
    <t>shared with all programs in Angola</t>
  </si>
  <si>
    <t>WL6</t>
  </si>
  <si>
    <t>WL7</t>
  </si>
  <si>
    <t>The MENTOR Initiative</t>
  </si>
  <si>
    <t>Grant percentage</t>
  </si>
  <si>
    <t>PSI</t>
  </si>
  <si>
    <t>EF</t>
  </si>
  <si>
    <t>EM2UIGE</t>
  </si>
  <si>
    <t>EM2ZAIRE</t>
  </si>
  <si>
    <t>FY 2014-2015</t>
  </si>
  <si>
    <t>From June2014 to May2015</t>
  </si>
  <si>
    <t>Oct2014-Sept2015</t>
  </si>
  <si>
    <t>original budget</t>
  </si>
  <si>
    <t>Total bUdget</t>
  </si>
  <si>
    <t>Rate</t>
  </si>
  <si>
    <t>Category</t>
  </si>
  <si>
    <t>Amount</t>
  </si>
  <si>
    <t>Cost share by Grants</t>
  </si>
  <si>
    <t>Period</t>
  </si>
  <si>
    <t>Annual</t>
  </si>
  <si>
    <t>Position</t>
  </si>
  <si>
    <t>Fees-Alessandro Bavcar</t>
  </si>
  <si>
    <t>Fees-Fernando daCosta</t>
  </si>
  <si>
    <t>EM-Uige</t>
  </si>
  <si>
    <t>EM-Zaire</t>
  </si>
  <si>
    <t>Fees-Rukaaka Mugizi</t>
  </si>
  <si>
    <t>ICLA ($22 per day)</t>
  </si>
  <si>
    <t>Personnel&amp;Travel</t>
  </si>
  <si>
    <t>Vaccination and Medical insurance</t>
  </si>
  <si>
    <t>Working permit</t>
  </si>
  <si>
    <t>q</t>
  </si>
  <si>
    <t>Fernando</t>
  </si>
  <si>
    <t>to be reviewed</t>
  </si>
  <si>
    <t>Reallocation allowance</t>
  </si>
  <si>
    <t>International flight+perdiem</t>
  </si>
  <si>
    <t>PSI- PM</t>
  </si>
  <si>
    <t>Fees-XXXXXX</t>
  </si>
  <si>
    <t>EF NTD Coor</t>
  </si>
  <si>
    <r>
      <t>ICLA in Luanda (&gt; $22 per day)</t>
    </r>
    <r>
      <rPr>
        <b/>
        <sz val="11"/>
        <color rgb="FF002060"/>
        <rFont val="Wingdings 3"/>
        <family val="1"/>
        <charset val="2"/>
      </rPr>
      <t xml:space="preserve"> </t>
    </r>
    <r>
      <rPr>
        <b/>
        <sz val="11"/>
        <color rgb="FF002060"/>
        <rFont val="Calibri"/>
        <family val="2"/>
        <scheme val="minor"/>
      </rPr>
      <t>in Luanda</t>
    </r>
  </si>
  <si>
    <t>Fees-Sergio Lopez</t>
  </si>
  <si>
    <t>EF WashCo</t>
  </si>
  <si>
    <t>EF NatLogCo</t>
  </si>
  <si>
    <t>Fees-Nico van de Plujim</t>
  </si>
  <si>
    <t>Fees-Elena Catala</t>
  </si>
  <si>
    <t>Fees-Maria Luis Lopez</t>
  </si>
  <si>
    <t>EF- NTDCo Zaire</t>
  </si>
  <si>
    <t>EF- NTDCo Uige</t>
  </si>
  <si>
    <t>EF- NTDCo Huambo</t>
  </si>
  <si>
    <t>EF- NTD M&amp;E officer</t>
  </si>
  <si>
    <t>International</t>
  </si>
  <si>
    <t>National</t>
  </si>
  <si>
    <t>Salary-Jorge Manuel</t>
  </si>
  <si>
    <t>Severance</t>
  </si>
  <si>
    <t>Christmas bonus+Holiday bonus</t>
  </si>
  <si>
    <t>Uige-AdminCo</t>
  </si>
  <si>
    <t>Salary- Lutero BAYAKALA</t>
  </si>
  <si>
    <t>INSS (around 15%)</t>
  </si>
  <si>
    <t>Staff insurance</t>
  </si>
  <si>
    <t>Zaire-Malaria PM</t>
  </si>
  <si>
    <t>Total budget</t>
  </si>
  <si>
    <t>Zaire-AdminCo</t>
  </si>
  <si>
    <t>Salary- Manuel Mandukisi</t>
  </si>
  <si>
    <t>Salary- Moises</t>
  </si>
  <si>
    <t>Angola-CD</t>
  </si>
  <si>
    <t>Angola-FinCo</t>
  </si>
  <si>
    <t>Angola-National AdminCo Officer</t>
  </si>
  <si>
    <t>Angola-National Logist Officer</t>
  </si>
  <si>
    <t>WL- Uige ProjCo</t>
  </si>
  <si>
    <t>WL-MedCo (Zaire &amp; Hbo Coor)</t>
  </si>
  <si>
    <t>WL-Laboratory Specialist (Uige&amp;Zaire)</t>
  </si>
  <si>
    <t>Salary- Nil Ricardo</t>
  </si>
  <si>
    <t>Description</t>
  </si>
  <si>
    <t>INSS (around 8%)</t>
  </si>
  <si>
    <t>Hbo-Cooker&amp;Cleaners</t>
  </si>
  <si>
    <r>
      <t xml:space="preserve">1 CookerCleaner Office&amp; House + 2 cooker-cleaner 2 staff residence                   </t>
    </r>
    <r>
      <rPr>
        <b/>
        <sz val="11"/>
        <color theme="1"/>
        <rFont val="Calibri"/>
        <family val="2"/>
        <scheme val="minor"/>
      </rPr>
      <t>Allocation:</t>
    </r>
    <r>
      <rPr>
        <sz val="11"/>
        <color theme="1"/>
        <rFont val="Calibri"/>
        <family val="2"/>
        <scheme val="minor"/>
      </rPr>
      <t xml:space="preserve">                                                    1  EF, 1 2WL5 &amp; 1 PSI</t>
    </r>
  </si>
  <si>
    <t>3 Cooker-clearners for Huambo</t>
  </si>
  <si>
    <t>3 gards CD house/3 Office/6Residence 1&amp;2</t>
  </si>
  <si>
    <t>6 gards: 3 office+3 residence</t>
  </si>
  <si>
    <t>ZAIRE-Cooker&amp;Cleaners</t>
  </si>
  <si>
    <t>1 Cooker-clearners for Zaire</t>
  </si>
  <si>
    <r>
      <t xml:space="preserve">1 cleaner = 322 USD/month - </t>
    </r>
    <r>
      <rPr>
        <b/>
        <sz val="11"/>
        <color theme="1"/>
        <rFont val="Calibri"/>
        <family val="2"/>
        <scheme val="minor"/>
      </rPr>
      <t>Allocation:</t>
    </r>
    <r>
      <rPr>
        <sz val="11"/>
        <color theme="1"/>
        <rFont val="Calibri"/>
        <family val="2"/>
        <scheme val="minor"/>
      </rPr>
      <t xml:space="preserve">                                                    EF</t>
    </r>
  </si>
  <si>
    <t>UIGE-Cooker&amp;Cleaners</t>
  </si>
  <si>
    <r>
      <t xml:space="preserve">1 cleaner = 322 USD/month - </t>
    </r>
    <r>
      <rPr>
        <b/>
        <sz val="11"/>
        <color theme="1"/>
        <rFont val="Calibri"/>
        <family val="2"/>
        <scheme val="minor"/>
      </rPr>
      <t>Allocation:</t>
    </r>
    <r>
      <rPr>
        <sz val="11"/>
        <color theme="1"/>
        <rFont val="Calibri"/>
        <family val="2"/>
        <scheme val="minor"/>
      </rPr>
      <t xml:space="preserve">                                                    WL7</t>
    </r>
  </si>
  <si>
    <t>EF1ANG</t>
  </si>
  <si>
    <t>Luanda</t>
  </si>
  <si>
    <t>Sept 2014 to Oct 2015</t>
  </si>
  <si>
    <t>Offices&amp;Residences</t>
  </si>
  <si>
    <t>Other expenses distribution:</t>
  </si>
  <si>
    <t>Country office</t>
  </si>
  <si>
    <t>Rate by provincies</t>
  </si>
  <si>
    <t>EF-HBO</t>
  </si>
  <si>
    <t>Total HBO</t>
  </si>
  <si>
    <t>Oct14-Sept15</t>
  </si>
  <si>
    <t>Huambo</t>
  </si>
  <si>
    <t>Zaire</t>
  </si>
  <si>
    <t>EF-MBC</t>
  </si>
  <si>
    <t>Uige</t>
  </si>
  <si>
    <t>EM2Uige</t>
  </si>
  <si>
    <t>Residence 1</t>
  </si>
  <si>
    <t>Residence 2</t>
  </si>
  <si>
    <t>CD residence</t>
  </si>
  <si>
    <t>Luanda NTD Coordinator and Deputy CD</t>
  </si>
  <si>
    <t>Uige Office</t>
  </si>
  <si>
    <t>Uige Residence</t>
  </si>
  <si>
    <t>MBC Office</t>
  </si>
  <si>
    <t>MBC Residence</t>
  </si>
  <si>
    <t>Country</t>
  </si>
  <si>
    <t>EM2ANG-U</t>
  </si>
  <si>
    <t>EM2ANG-Z</t>
  </si>
  <si>
    <t>Electricity, communication, taxes, office supplies, bank charges, generator petrol, and others need to be distributed following the Provinces Rates</t>
  </si>
  <si>
    <t>Cars distribution</t>
  </si>
  <si>
    <t>Land Cruiser</t>
  </si>
  <si>
    <t>LD 24-78CH</t>
  </si>
  <si>
    <t>Hilux</t>
  </si>
  <si>
    <t>LD 40-89BP</t>
  </si>
  <si>
    <t>LD 44-69-CX</t>
  </si>
  <si>
    <t>LBC 69-61</t>
  </si>
  <si>
    <t>LD 40-90BP</t>
  </si>
  <si>
    <t>LD 07-45CW</t>
  </si>
  <si>
    <t>The MENTOR</t>
  </si>
  <si>
    <t>LD 52-20EG</t>
  </si>
  <si>
    <t>LBD 24-49</t>
  </si>
  <si>
    <t>Mazda</t>
  </si>
  <si>
    <t>LD 95-43AH</t>
  </si>
  <si>
    <t>Ford</t>
  </si>
  <si>
    <t>LD-99.66BN</t>
  </si>
  <si>
    <t>LD 22-26 EV</t>
  </si>
  <si>
    <t>EndFund</t>
  </si>
  <si>
    <t>LD 22-29 EV</t>
  </si>
  <si>
    <t>Province</t>
  </si>
  <si>
    <t>Vehicle</t>
  </si>
  <si>
    <t>License Number</t>
  </si>
  <si>
    <t>Purchase by</t>
  </si>
  <si>
    <t>Condition</t>
  </si>
  <si>
    <t>USAID-WL</t>
  </si>
  <si>
    <t>2014-2015</t>
  </si>
  <si>
    <t>PSI4ANG-YR3</t>
  </si>
  <si>
    <t>2013-2014</t>
  </si>
  <si>
    <t>To be sell</t>
  </si>
  <si>
    <t>Leassing</t>
  </si>
  <si>
    <t>USAID-PSI</t>
  </si>
  <si>
    <t>Date of Adquisition</t>
  </si>
  <si>
    <t>xxxxx</t>
  </si>
  <si>
    <t>LC Hardtop 10s/5d</t>
  </si>
  <si>
    <t>-</t>
  </si>
  <si>
    <t>EM2ANG-Zaire</t>
  </si>
  <si>
    <t>New</t>
  </si>
  <si>
    <t>ExxonMobil</t>
  </si>
  <si>
    <t>EM2ANG-Uige</t>
  </si>
  <si>
    <t>Hilux double cab, 5s</t>
  </si>
  <si>
    <t>LC DC pick up , 6 seater</t>
  </si>
  <si>
    <t>The End Fund</t>
  </si>
  <si>
    <t>LC Hardtop 13s/</t>
  </si>
  <si>
    <t>Comments:</t>
  </si>
  <si>
    <t>Mazda LD 95-43AH can be sell.</t>
  </si>
  <si>
    <t>WL7 Uige: A new car is requested for Malaria activities in Uige for YR2014-2015, however I believe EssonMobil's car can be used and reinforce the WL activities in the Province.</t>
  </si>
  <si>
    <t>CD and National Logistician review the right allocations of these cars, taking into account the original owner, so USAID cars need to work on USAID projects.</t>
  </si>
  <si>
    <t>Toyota Hilux LD 07-45 CW rented to PSI up to Sept2014, after that it can be transferred to another project.</t>
  </si>
  <si>
    <t>PSI: Request a new car for this project in the budget proposal.</t>
  </si>
  <si>
    <t>FA investment (new cars)</t>
  </si>
  <si>
    <t>EM2Zaire</t>
  </si>
  <si>
    <t>ZAIRE-Guards</t>
  </si>
  <si>
    <t>Hbo-Guards</t>
  </si>
  <si>
    <r>
      <t xml:space="preserve">1 guard = 322 USD/month - </t>
    </r>
    <r>
      <rPr>
        <b/>
        <sz val="11"/>
        <color theme="1"/>
        <rFont val="Calibri"/>
        <family val="2"/>
        <scheme val="minor"/>
      </rPr>
      <t>Allocation:</t>
    </r>
    <r>
      <rPr>
        <sz val="11"/>
        <color theme="1"/>
        <rFont val="Calibri"/>
        <family val="2"/>
        <scheme val="minor"/>
      </rPr>
      <t xml:space="preserve">                                                    3 guards PSI/3 guards WL5                      &amp; 6 guards EF</t>
    </r>
  </si>
  <si>
    <r>
      <t xml:space="preserve">1 guard = 322 USD/month - </t>
    </r>
    <r>
      <rPr>
        <b/>
        <sz val="11"/>
        <color theme="1"/>
        <rFont val="Calibri"/>
        <family val="2"/>
        <scheme val="minor"/>
      </rPr>
      <t>Allocation:</t>
    </r>
    <r>
      <rPr>
        <sz val="11"/>
        <color theme="1"/>
        <rFont val="Calibri"/>
        <family val="2"/>
        <scheme val="minor"/>
      </rPr>
      <t xml:space="preserve">                                                    2 guards WL6/2 guards EF                      &amp; 2 guards EM</t>
    </r>
  </si>
  <si>
    <t>UIGE-Guards</t>
  </si>
  <si>
    <r>
      <t xml:space="preserve">1 guard = 322 USD/month - </t>
    </r>
    <r>
      <rPr>
        <b/>
        <sz val="11"/>
        <color theme="1"/>
        <rFont val="Calibri"/>
        <family val="2"/>
        <scheme val="minor"/>
      </rPr>
      <t>Allocation:</t>
    </r>
    <r>
      <rPr>
        <sz val="11"/>
        <color theme="1"/>
        <rFont val="Calibri"/>
        <family val="2"/>
        <scheme val="minor"/>
      </rPr>
      <t xml:space="preserve">                                                    2 guards WL7/2 gards EF                      &amp; 2 gards EM</t>
    </r>
  </si>
  <si>
    <t>Fourniture</t>
  </si>
  <si>
    <t>Office</t>
  </si>
  <si>
    <t>Fees-Vasco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</si>
</sst>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rgb="FF0070C0"/>
      <name val="Arial Narrow"/>
      <family val="2"/>
    </font>
    <font>
      <sz val="12"/>
      <color theme="6" tint="-0.499984740745262"/>
      <name val="Arial Narrow"/>
      <family val="2"/>
    </font>
    <font>
      <sz val="11"/>
      <color theme="6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Wingdings 3"/>
      <family val="1"/>
      <charset val="2"/>
    </font>
    <font>
      <b/>
      <sz val="11"/>
      <color rgb="FFFF0000"/>
      <name val="Calibri"/>
      <family val="2"/>
      <scheme val="minor"/>
    </font>
    <font>
      <b/>
      <sz val="11"/>
      <color rgb="FF002060"/>
      <name val="Wingdings 3"/>
      <family val="1"/>
      <charset val="2"/>
    </font>
    <font>
      <b/>
      <sz val="16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3" fontId="2" fillId="0" borderId="0" xfId="0" applyNumberFormat="1" applyFont="1" applyAlignment="1">
      <alignment horizontal="center"/>
    </xf>
    <xf numFmtId="3" fontId="3" fillId="0" borderId="1" xfId="0" applyNumberFormat="1" applyFont="1" applyBorder="1"/>
    <xf numFmtId="3" fontId="0" fillId="0" borderId="1" xfId="0" applyNumberFormat="1" applyBorder="1"/>
    <xf numFmtId="3" fontId="3" fillId="0" borderId="0" xfId="0" applyNumberFormat="1" applyFont="1" applyBorder="1"/>
    <xf numFmtId="3" fontId="5" fillId="0" borderId="2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3" fontId="8" fillId="0" borderId="0" xfId="0" applyNumberFormat="1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0" fillId="0" borderId="3" xfId="0" applyBorder="1"/>
    <xf numFmtId="0" fontId="9" fillId="0" borderId="3" xfId="0" applyFont="1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3" xfId="0" applyFill="1" applyBorder="1"/>
    <xf numFmtId="0" fontId="0" fillId="0" borderId="0" xfId="0" applyBorder="1"/>
    <xf numFmtId="0" fontId="9" fillId="0" borderId="0" xfId="0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2" borderId="4" xfId="0" applyNumberFormat="1" applyFill="1" applyBorder="1"/>
    <xf numFmtId="3" fontId="0" fillId="0" borderId="4" xfId="0" applyNumberForma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3" xfId="0" applyNumberFormat="1" applyFill="1" applyBorder="1"/>
    <xf numFmtId="4" fontId="0" fillId="0" borderId="0" xfId="0" applyNumberFormat="1"/>
    <xf numFmtId="3" fontId="0" fillId="0" borderId="6" xfId="0" applyNumberFormat="1" applyBorder="1"/>
    <xf numFmtId="0" fontId="0" fillId="0" borderId="0" xfId="0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9" fillId="0" borderId="9" xfId="0" applyFont="1" applyBorder="1"/>
    <xf numFmtId="0" fontId="0" fillId="0" borderId="9" xfId="0" applyBorder="1" applyAlignment="1">
      <alignment horizontal="center"/>
    </xf>
    <xf numFmtId="3" fontId="0" fillId="0" borderId="9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0" fontId="0" fillId="0" borderId="11" xfId="0" applyBorder="1"/>
    <xf numFmtId="3" fontId="0" fillId="0" borderId="12" xfId="0" applyNumberFormat="1" applyFill="1" applyBorder="1"/>
    <xf numFmtId="0" fontId="0" fillId="0" borderId="7" xfId="0" applyBorder="1"/>
    <xf numFmtId="3" fontId="0" fillId="0" borderId="13" xfId="0" applyNumberFormat="1" applyFill="1" applyBorder="1"/>
    <xf numFmtId="0" fontId="0" fillId="0" borderId="9" xfId="0" applyBorder="1"/>
    <xf numFmtId="0" fontId="10" fillId="0" borderId="9" xfId="0" applyFont="1" applyBorder="1"/>
    <xf numFmtId="3" fontId="0" fillId="0" borderId="10" xfId="0" applyNumberFormat="1" applyBorder="1"/>
    <xf numFmtId="3" fontId="0" fillId="0" borderId="12" xfId="0" applyNumberFormat="1" applyBorder="1"/>
    <xf numFmtId="0" fontId="0" fillId="0" borderId="13" xfId="0" applyBorder="1"/>
    <xf numFmtId="0" fontId="0" fillId="0" borderId="12" xfId="0" applyBorder="1"/>
    <xf numFmtId="0" fontId="0" fillId="0" borderId="12" xfId="0" applyFill="1" applyBorder="1"/>
    <xf numFmtId="0" fontId="9" fillId="0" borderId="0" xfId="0" applyFont="1" applyFill="1" applyBorder="1"/>
    <xf numFmtId="0" fontId="9" fillId="2" borderId="0" xfId="0" applyFont="1" applyFill="1" applyBorder="1"/>
    <xf numFmtId="0" fontId="0" fillId="2" borderId="0" xfId="0" applyFill="1" applyBorder="1" applyAlignment="1">
      <alignment horizontal="center"/>
    </xf>
    <xf numFmtId="0" fontId="5" fillId="0" borderId="11" xfId="0" applyFont="1" applyBorder="1"/>
    <xf numFmtId="3" fontId="5" fillId="0" borderId="12" xfId="0" applyNumberFormat="1" applyFont="1" applyBorder="1" applyAlignment="1">
      <alignment horizontal="center"/>
    </xf>
    <xf numFmtId="0" fontId="10" fillId="0" borderId="0" xfId="0" applyFont="1" applyBorder="1"/>
    <xf numFmtId="3" fontId="0" fillId="0" borderId="13" xfId="0" applyNumberFormat="1" applyBorder="1"/>
    <xf numFmtId="0" fontId="0" fillId="0" borderId="13" xfId="0" applyFill="1" applyBorder="1"/>
    <xf numFmtId="0" fontId="14" fillId="0" borderId="0" xfId="0" applyFont="1"/>
    <xf numFmtId="3" fontId="5" fillId="0" borderId="0" xfId="0" applyNumberFormat="1" applyFont="1"/>
    <xf numFmtId="3" fontId="5" fillId="0" borderId="2" xfId="0" applyNumberFormat="1" applyFont="1" applyBorder="1"/>
    <xf numFmtId="0" fontId="5" fillId="0" borderId="2" xfId="0" applyFont="1" applyBorder="1" applyAlignment="1">
      <alignment horizontal="center" wrapText="1"/>
    </xf>
    <xf numFmtId="3" fontId="0" fillId="3" borderId="0" xfId="0" applyNumberFormat="1" applyFill="1" applyBorder="1"/>
    <xf numFmtId="9" fontId="0" fillId="0" borderId="0" xfId="0" applyNumberFormat="1"/>
    <xf numFmtId="0" fontId="0" fillId="0" borderId="14" xfId="0" applyBorder="1"/>
    <xf numFmtId="0" fontId="0" fillId="0" borderId="16" xfId="0" applyBorder="1"/>
    <xf numFmtId="0" fontId="0" fillId="0" borderId="17" xfId="0" applyBorder="1"/>
    <xf numFmtId="4" fontId="0" fillId="0" borderId="18" xfId="0" applyNumberFormat="1" applyBorder="1"/>
    <xf numFmtId="14" fontId="0" fillId="0" borderId="1" xfId="0" applyNumberFormat="1" applyBorder="1"/>
    <xf numFmtId="0" fontId="0" fillId="0" borderId="1" xfId="0" applyFill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0" fontId="0" fillId="0" borderId="20" xfId="0" applyFill="1" applyBorder="1"/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15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ill="1" applyBorder="1"/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" fontId="15" fillId="0" borderId="0" xfId="0" applyNumberFormat="1" applyFont="1" applyAlignment="1">
      <alignment horizontal="center" wrapText="1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7"/>
  <sheetViews>
    <sheetView zoomScale="115" zoomScaleNormal="115" zoomScalePageLayoutView="115" workbookViewId="0">
      <pane ySplit="6" topLeftCell="A38" activePane="bottomLeft" state="frozen"/>
      <selection pane="bottomLeft" activeCell="C45" sqref="C45"/>
    </sheetView>
  </sheetViews>
  <sheetFormatPr baseColWidth="10" defaultColWidth="9.1640625" defaultRowHeight="14" x14ac:dyDescent="0"/>
  <cols>
    <col min="1" max="1" width="18.5" customWidth="1"/>
    <col min="2" max="2" width="27.5" customWidth="1"/>
    <col min="3" max="3" width="39.6640625" customWidth="1"/>
    <col min="4" max="4" width="11.5" style="13" customWidth="1"/>
    <col min="5" max="10" width="11.5" style="11" customWidth="1"/>
    <col min="11" max="12" width="11.5" customWidth="1"/>
  </cols>
  <sheetData>
    <row r="1" spans="1:12" ht="20">
      <c r="A1" s="77" t="s">
        <v>53</v>
      </c>
      <c r="B1" s="20"/>
    </row>
    <row r="2" spans="1:12">
      <c r="A2" s="22" t="s">
        <v>135</v>
      </c>
      <c r="B2" s="22"/>
      <c r="H2" s="11">
        <v>1000</v>
      </c>
      <c r="I2" s="11">
        <f>H2/12</f>
        <v>83.333333333333329</v>
      </c>
    </row>
    <row r="3" spans="1:12">
      <c r="E3" s="26" t="s">
        <v>81</v>
      </c>
      <c r="J3" s="11">
        <f>J107/12</f>
        <v>881.30724869308517</v>
      </c>
    </row>
    <row r="4" spans="1:12">
      <c r="A4" s="21" t="s">
        <v>67</v>
      </c>
      <c r="B4" s="21"/>
      <c r="E4" s="26" t="s">
        <v>82</v>
      </c>
      <c r="G4" s="103">
        <f>G8/12</f>
        <v>503.18462559033179</v>
      </c>
    </row>
    <row r="5" spans="1:12">
      <c r="A5" s="14"/>
      <c r="B5" s="14"/>
      <c r="E5" s="25" t="s">
        <v>80</v>
      </c>
    </row>
    <row r="6" spans="1:12" s="14" customFormat="1" ht="15" thickBot="1">
      <c r="A6" s="23" t="s">
        <v>65</v>
      </c>
      <c r="B6" s="23" t="s">
        <v>70</v>
      </c>
      <c r="C6" s="23" t="s">
        <v>121</v>
      </c>
      <c r="D6" s="24" t="s">
        <v>68</v>
      </c>
      <c r="E6" s="49" t="s">
        <v>66</v>
      </c>
      <c r="F6" s="19" t="s">
        <v>36</v>
      </c>
      <c r="G6" s="19" t="s">
        <v>51</v>
      </c>
      <c r="H6" s="19" t="s">
        <v>52</v>
      </c>
      <c r="I6" s="19" t="s">
        <v>55</v>
      </c>
      <c r="J6" s="19" t="s">
        <v>56</v>
      </c>
      <c r="K6" s="19" t="s">
        <v>73</v>
      </c>
      <c r="L6" s="19" t="s">
        <v>74</v>
      </c>
    </row>
    <row r="7" spans="1:12" s="14" customFormat="1">
      <c r="A7" s="42" t="s">
        <v>99</v>
      </c>
      <c r="B7" s="42"/>
      <c r="C7" s="42"/>
      <c r="D7" s="43"/>
      <c r="E7" s="50"/>
      <c r="F7" s="44"/>
      <c r="G7" s="44"/>
      <c r="H7" s="44"/>
      <c r="I7" s="44"/>
      <c r="J7" s="44"/>
      <c r="K7" s="44"/>
      <c r="L7" s="44"/>
    </row>
    <row r="8" spans="1:12" ht="15.75" customHeight="1">
      <c r="A8" s="51" t="s">
        <v>77</v>
      </c>
      <c r="B8" s="62" t="s">
        <v>113</v>
      </c>
      <c r="C8" s="63" t="s">
        <v>71</v>
      </c>
      <c r="D8" s="54" t="s">
        <v>69</v>
      </c>
      <c r="E8" s="47">
        <f>4300*12</f>
        <v>51600</v>
      </c>
      <c r="F8" s="55">
        <f>IF(F$6="WL5",E:E*'Grants Rates'!C$5,)</f>
        <v>6709.1283412044231</v>
      </c>
      <c r="G8" s="55">
        <f>IF(G$6="WL6",E:E*'Grants Rates'!C$6,)</f>
        <v>6038.2155070839817</v>
      </c>
      <c r="H8" s="55">
        <f>IF(H$6="WL7",E:E*'Grants Rates'!C$7,)</f>
        <v>8050.9540094453087</v>
      </c>
      <c r="I8" s="55">
        <f>IF(I$6="PSI",E:E*'Grants Rates'!C$8,)</f>
        <v>4696.3898388430971</v>
      </c>
      <c r="J8" s="55">
        <f>IF(J$6="EF",E:E*'Grants Rates'!C$9,)</f>
        <v>26105.31230342319</v>
      </c>
      <c r="K8" s="55">
        <f>IF(K$6="WL5",J:J*'Grants Rates'!H$5,)</f>
        <v>0</v>
      </c>
      <c r="L8" s="64">
        <f>IF(L$6="WL5",K:K*'Grants Rates'!I$5,)</f>
        <v>0</v>
      </c>
    </row>
    <row r="9" spans="1:12" ht="15.75" customHeight="1">
      <c r="A9" s="58" t="s">
        <v>77</v>
      </c>
      <c r="B9" s="34" t="s">
        <v>113</v>
      </c>
      <c r="C9" s="35" t="s">
        <v>76</v>
      </c>
      <c r="D9" s="36" t="s">
        <v>69</v>
      </c>
      <c r="E9" s="38">
        <f>30*22*12</f>
        <v>7920</v>
      </c>
      <c r="F9" s="37">
        <f>IF(F$6="WL5",E:E*'Grants Rates'!C$5,)</f>
        <v>1029.7731872546324</v>
      </c>
      <c r="G9" s="37">
        <f>IF(G$6="WL6",E:E*'Grants Rates'!C$6,)</f>
        <v>926.79586852916918</v>
      </c>
      <c r="H9" s="37">
        <f>IF(H$6="WL7",E:E*'Grants Rates'!C$7,)</f>
        <v>1235.727824705559</v>
      </c>
      <c r="I9" s="37">
        <f>IF(I$6="PSI",E:E*'Grants Rates'!C$8,)</f>
        <v>720.8412310782428</v>
      </c>
      <c r="J9" s="37">
        <f>IF(J$6="EF",E:E*'Grants Rates'!C$9,)</f>
        <v>4006.8618884323964</v>
      </c>
      <c r="K9" s="37">
        <f>IF(K$6="WL5",J:J*'Grants Rates'!H$5,)</f>
        <v>0</v>
      </c>
      <c r="L9" s="65">
        <f>IF(L$6="WL5",K:K*'Grants Rates'!I$5,)</f>
        <v>0</v>
      </c>
    </row>
    <row r="10" spans="1:12" ht="15.75" customHeight="1">
      <c r="A10" s="58" t="s">
        <v>77</v>
      </c>
      <c r="B10" s="34" t="s">
        <v>113</v>
      </c>
      <c r="C10" s="35" t="s">
        <v>83</v>
      </c>
      <c r="D10" s="36" t="s">
        <v>69</v>
      </c>
      <c r="E10" s="38">
        <v>300</v>
      </c>
      <c r="F10" s="37">
        <v>300</v>
      </c>
      <c r="G10" s="37">
        <f>IF(G$6="WL5",F:F*'Grants Rates'!D$5,)</f>
        <v>0</v>
      </c>
      <c r="H10" s="37">
        <f>IF(H$6="WL5",G:G*'Grants Rates'!E$5,)</f>
        <v>0</v>
      </c>
      <c r="I10" s="37">
        <f>IF(I$6="WL5",H:H*'Grants Rates'!F$5,)</f>
        <v>0</v>
      </c>
      <c r="J10" s="37">
        <f>IF(J$6="WL5",I:I*'Grants Rates'!G$5,)</f>
        <v>0</v>
      </c>
      <c r="K10" s="37">
        <f>IF(K$6="WL5",J:J*'Grants Rates'!H$5,)</f>
        <v>0</v>
      </c>
      <c r="L10" s="65">
        <f>IF(L$6="WL5",K:K*'Grants Rates'!I$5,)</f>
        <v>0</v>
      </c>
    </row>
    <row r="11" spans="1:12" ht="15.75" customHeight="1">
      <c r="A11" s="58" t="s">
        <v>77</v>
      </c>
      <c r="B11" s="34" t="s">
        <v>113</v>
      </c>
      <c r="C11" s="35" t="s">
        <v>84</v>
      </c>
      <c r="D11" s="36" t="s">
        <v>69</v>
      </c>
      <c r="E11" s="38">
        <v>2500</v>
      </c>
      <c r="F11" s="37">
        <f>IF(F$6="WL5",E:E*'Grants Rates'!C$5,)</f>
        <v>325.05466769401278</v>
      </c>
      <c r="G11" s="37">
        <f>IF(G$6="WL6",E:E*'Grants Rates'!C$6,)</f>
        <v>292.54920092461151</v>
      </c>
      <c r="H11" s="37">
        <f>IF(H$6="WL7",E:E*'Grants Rates'!C$7,)</f>
        <v>390.06560123281531</v>
      </c>
      <c r="I11" s="37">
        <f>IF(I$6="PSI",E:E*'Grants Rates'!C$8,)</f>
        <v>227.53826738580895</v>
      </c>
      <c r="J11" s="37">
        <f>IF(J$6="EF",E:E*'Grants Rates'!C$9,)</f>
        <v>1264.7922627627513</v>
      </c>
      <c r="K11" s="37">
        <f>IF(K$6="WL5",J:J*'Grants Rates'!H$5,)</f>
        <v>0</v>
      </c>
      <c r="L11" s="65">
        <f>IF(L$6="WL5",K:K*'Grants Rates'!I$5,)</f>
        <v>0</v>
      </c>
    </row>
    <row r="12" spans="1:12" ht="15.75" customHeight="1">
      <c r="A12" s="58" t="s">
        <v>77</v>
      </c>
      <c r="B12" s="34" t="s">
        <v>113</v>
      </c>
      <c r="C12" s="35" t="s">
        <v>78</v>
      </c>
      <c r="D12" s="36" t="s">
        <v>69</v>
      </c>
      <c r="E12" s="38">
        <v>1350</v>
      </c>
      <c r="F12" s="37">
        <f>IF(F$6="WL5",E:E*'Grants Rates'!C$5,)</f>
        <v>175.52952055476689</v>
      </c>
      <c r="G12" s="37">
        <f>IF(G$6="WL6",E:E*'Grants Rates'!C$6,)</f>
        <v>157.97656849929021</v>
      </c>
      <c r="H12" s="37">
        <f>IF(H$6="WL7",E:E*'Grants Rates'!C$7,)</f>
        <v>210.63542466572028</v>
      </c>
      <c r="I12" s="37">
        <f>IF(I$6="PSI",E:E*'Grants Rates'!C$8,)</f>
        <v>122.87066438833683</v>
      </c>
      <c r="J12" s="37">
        <f>IF(J$6="EF",E:E*'Grants Rates'!C$9,)</f>
        <v>682.9878218918858</v>
      </c>
      <c r="K12" s="37">
        <f>IF(K$6="WL5",J:J*'Grants Rates'!H$5,)</f>
        <v>0</v>
      </c>
      <c r="L12" s="65">
        <f>IF(L$6="WL5",K:K*'Grants Rates'!I$5,)</f>
        <v>0</v>
      </c>
    </row>
    <row r="13" spans="1:12" ht="15.75" customHeight="1">
      <c r="A13" s="60" t="s">
        <v>77</v>
      </c>
      <c r="B13" s="27" t="s">
        <v>113</v>
      </c>
      <c r="C13" s="28" t="s">
        <v>79</v>
      </c>
      <c r="D13" s="29" t="s">
        <v>69</v>
      </c>
      <c r="E13" s="39">
        <v>500</v>
      </c>
      <c r="F13" s="30">
        <f>IF(F$6="WL5",E:E*'Grants Rates'!C$5,)</f>
        <v>65.010933538802547</v>
      </c>
      <c r="G13" s="30">
        <f>IF(G$6="WL6",E:E*'Grants Rates'!C$6,)</f>
        <v>58.509840184922297</v>
      </c>
      <c r="H13" s="30">
        <f>IF(H$6="WL7",E:E*'Grants Rates'!C$7,)</f>
        <v>78.013120246563062</v>
      </c>
      <c r="I13" s="30">
        <f>IF(I$6="PSI",E:E*'Grants Rates'!C$8,)</f>
        <v>45.507653477161789</v>
      </c>
      <c r="J13" s="30">
        <f>IF(J$6="EF",E:E*'Grants Rates'!C$9,)</f>
        <v>252.95845255255028</v>
      </c>
      <c r="K13" s="27">
        <v>0</v>
      </c>
      <c r="L13" s="66">
        <v>0</v>
      </c>
    </row>
    <row r="14" spans="1:12" ht="15.75" customHeight="1">
      <c r="A14" s="58" t="s">
        <v>77</v>
      </c>
      <c r="B14" s="34" t="s">
        <v>114</v>
      </c>
      <c r="C14" s="35" t="s">
        <v>72</v>
      </c>
      <c r="D14" s="36" t="s">
        <v>69</v>
      </c>
      <c r="E14" s="38">
        <f>3800*12</f>
        <v>45600</v>
      </c>
      <c r="F14" s="37">
        <f>IF(F$6="WL5",E:E*'Grants Rates'!C$5,)</f>
        <v>5928.9971387387923</v>
      </c>
      <c r="G14" s="37">
        <f>IF(G$6="WL6",E:E*'Grants Rates'!C$6,)</f>
        <v>5336.0974248649136</v>
      </c>
      <c r="H14" s="37">
        <f>IF(H$6="WL7",E:E*'Grants Rates'!C$7,)</f>
        <v>7114.7965664865515</v>
      </c>
      <c r="I14" s="37">
        <f>IF(I$6="PSI",E:E*'Grants Rates'!C$8,)</f>
        <v>4150.2979971171553</v>
      </c>
      <c r="J14" s="37">
        <f>IF(J$6="EF",E:E*'Grants Rates'!C$9,)</f>
        <v>23069.810872792586</v>
      </c>
      <c r="K14" s="34">
        <v>0</v>
      </c>
      <c r="L14" s="67">
        <v>0</v>
      </c>
    </row>
    <row r="15" spans="1:12" ht="15.75" customHeight="1">
      <c r="A15" s="58" t="s">
        <v>77</v>
      </c>
      <c r="B15" s="34" t="s">
        <v>114</v>
      </c>
      <c r="C15" s="35" t="s">
        <v>76</v>
      </c>
      <c r="D15" s="36" t="s">
        <v>69</v>
      </c>
      <c r="E15" s="38">
        <f>30*22*12</f>
        <v>7920</v>
      </c>
      <c r="F15" s="37">
        <f>IF(F$6="WL5",E:E*'Grants Rates'!C$5,)</f>
        <v>1029.7731872546324</v>
      </c>
      <c r="G15" s="37">
        <f>IF(G$6="WL6",E:E*'Grants Rates'!C$6,)</f>
        <v>926.79586852916918</v>
      </c>
      <c r="H15" s="37">
        <f>IF(H$6="WL7",E:E*'Grants Rates'!C$7,)</f>
        <v>1235.727824705559</v>
      </c>
      <c r="I15" s="37">
        <f>IF(I$6="PSI",E:E*'Grants Rates'!C$8,)</f>
        <v>720.8412310782428</v>
      </c>
      <c r="J15" s="37">
        <f>IF(J$6="EF",E:E*'Grants Rates'!C$9,)</f>
        <v>4006.8618884323964</v>
      </c>
      <c r="K15" s="34">
        <v>0</v>
      </c>
      <c r="L15" s="67">
        <v>0</v>
      </c>
    </row>
    <row r="16" spans="1:12" ht="15.75" customHeight="1">
      <c r="A16" s="58" t="s">
        <v>77</v>
      </c>
      <c r="B16" s="34" t="s">
        <v>114</v>
      </c>
      <c r="C16" s="35" t="s">
        <v>83</v>
      </c>
      <c r="D16" s="36" t="s">
        <v>69</v>
      </c>
      <c r="E16" s="38">
        <v>300</v>
      </c>
      <c r="F16" s="37">
        <v>0</v>
      </c>
      <c r="G16" s="37">
        <v>0</v>
      </c>
      <c r="H16" s="37">
        <v>300</v>
      </c>
      <c r="I16" s="37">
        <f>IF(I$6="WL5",H:H*'Grants Rates'!F$5,)</f>
        <v>0</v>
      </c>
      <c r="J16" s="37">
        <f>IF(J$6="WL5",I:I*'Grants Rates'!G$5,)</f>
        <v>0</v>
      </c>
      <c r="K16" s="37">
        <v>0</v>
      </c>
      <c r="L16" s="67">
        <v>0</v>
      </c>
    </row>
    <row r="17" spans="1:12" ht="15.75" customHeight="1">
      <c r="A17" s="58" t="s">
        <v>77</v>
      </c>
      <c r="B17" s="34" t="s">
        <v>114</v>
      </c>
      <c r="C17" s="35" t="s">
        <v>84</v>
      </c>
      <c r="D17" s="36" t="s">
        <v>69</v>
      </c>
      <c r="E17" s="38">
        <v>2500</v>
      </c>
      <c r="F17" s="37">
        <f>IF(F$6="WL5",E:E*'Grants Rates'!C$5,)</f>
        <v>325.05466769401278</v>
      </c>
      <c r="G17" s="37">
        <f>IF(G$6="WL6",E:E*'Grants Rates'!C$6,)</f>
        <v>292.54920092461151</v>
      </c>
      <c r="H17" s="37">
        <f>IF(H$6="WL7",E:E*'Grants Rates'!C$7,)</f>
        <v>390.06560123281531</v>
      </c>
      <c r="I17" s="37">
        <f>IF(I$6="PSI",E:E*'Grants Rates'!C$8,)</f>
        <v>227.53826738580895</v>
      </c>
      <c r="J17" s="37">
        <f>IF(J$6="EF",E:E*'Grants Rates'!C$9,)</f>
        <v>1264.7922627627513</v>
      </c>
      <c r="K17" s="34">
        <v>0</v>
      </c>
      <c r="L17" s="67">
        <v>0</v>
      </c>
    </row>
    <row r="18" spans="1:12" ht="15.75" customHeight="1">
      <c r="A18" s="58" t="s">
        <v>77</v>
      </c>
      <c r="B18" s="34" t="s">
        <v>114</v>
      </c>
      <c r="C18" s="35" t="s">
        <v>78</v>
      </c>
      <c r="D18" s="36" t="s">
        <v>69</v>
      </c>
      <c r="E18" s="38">
        <v>1350</v>
      </c>
      <c r="F18" s="37">
        <f>IF(F$6="WL5",E:E*'Grants Rates'!C$5,)</f>
        <v>175.52952055476689</v>
      </c>
      <c r="G18" s="37">
        <f>IF(G$6="WL6",E:E*'Grants Rates'!C$6,)</f>
        <v>157.97656849929021</v>
      </c>
      <c r="H18" s="37">
        <f>IF(H$6="WL7",E:E*'Grants Rates'!C$7,)</f>
        <v>210.63542466572028</v>
      </c>
      <c r="I18" s="37">
        <f>IF(I$6="PSI",E:E*'Grants Rates'!C$8,)</f>
        <v>122.87066438833683</v>
      </c>
      <c r="J18" s="37">
        <f>IF(J$6="EF",E:E*'Grants Rates'!C$9,)</f>
        <v>682.9878218918858</v>
      </c>
      <c r="K18" s="34">
        <v>0</v>
      </c>
      <c r="L18" s="67">
        <v>0</v>
      </c>
    </row>
    <row r="19" spans="1:12" ht="15.75" customHeight="1">
      <c r="A19" s="60" t="s">
        <v>77</v>
      </c>
      <c r="B19" s="27" t="s">
        <v>114</v>
      </c>
      <c r="C19" s="28" t="s">
        <v>79</v>
      </c>
      <c r="D19" s="29" t="s">
        <v>69</v>
      </c>
      <c r="E19" s="39">
        <v>500</v>
      </c>
      <c r="F19" s="30">
        <f>IF(F$6="WL5",E:E*'Grants Rates'!C$5,)</f>
        <v>65.010933538802547</v>
      </c>
      <c r="G19" s="30">
        <f>IF(G$6="WL6",E:E*'Grants Rates'!C$6,)</f>
        <v>58.509840184922297</v>
      </c>
      <c r="H19" s="30">
        <f>IF(H$6="WL7",E:E*'Grants Rates'!C$7,)</f>
        <v>78.013120246563062</v>
      </c>
      <c r="I19" s="30">
        <f>IF(I$6="PSI",E:E*'Grants Rates'!C$8,)</f>
        <v>45.507653477161789</v>
      </c>
      <c r="J19" s="30">
        <f>IF(J$6="EF",E:E*'Grants Rates'!C$9,)</f>
        <v>252.95845255255028</v>
      </c>
      <c r="K19" s="27">
        <v>0</v>
      </c>
      <c r="L19" s="66">
        <v>0</v>
      </c>
    </row>
    <row r="20" spans="1:12" ht="15.75" customHeight="1">
      <c r="A20" s="58" t="s">
        <v>77</v>
      </c>
      <c r="B20" s="34" t="s">
        <v>118</v>
      </c>
      <c r="C20" s="35" t="s">
        <v>75</v>
      </c>
      <c r="D20" s="36" t="s">
        <v>69</v>
      </c>
      <c r="E20" s="38">
        <f>4200*12+2000</f>
        <v>52400</v>
      </c>
      <c r="F20" s="37">
        <v>25200</v>
      </c>
      <c r="G20" s="37">
        <v>25200</v>
      </c>
      <c r="H20" s="37">
        <v>0</v>
      </c>
      <c r="I20" s="37">
        <v>0</v>
      </c>
      <c r="J20" s="37">
        <v>0</v>
      </c>
      <c r="K20" s="31">
        <v>0</v>
      </c>
      <c r="L20" s="65">
        <v>2000</v>
      </c>
    </row>
    <row r="21" spans="1:12" ht="15.75" customHeight="1">
      <c r="A21" s="58" t="s">
        <v>77</v>
      </c>
      <c r="B21" s="34" t="s">
        <v>118</v>
      </c>
      <c r="C21" s="35" t="s">
        <v>76</v>
      </c>
      <c r="D21" s="36" t="s">
        <v>69</v>
      </c>
      <c r="E21" s="38">
        <f>30*22*12</f>
        <v>7920</v>
      </c>
      <c r="F21" s="37">
        <f>E21/2</f>
        <v>3960</v>
      </c>
      <c r="G21" s="37">
        <f>E21/2</f>
        <v>3960</v>
      </c>
      <c r="H21" s="37">
        <v>0</v>
      </c>
      <c r="I21" s="37">
        <v>0</v>
      </c>
      <c r="J21" s="37">
        <v>0</v>
      </c>
      <c r="K21" s="32">
        <v>0</v>
      </c>
      <c r="L21" s="59">
        <v>0</v>
      </c>
    </row>
    <row r="22" spans="1:12" ht="15.75" customHeight="1">
      <c r="A22" s="58" t="s">
        <v>77</v>
      </c>
      <c r="B22" s="34" t="s">
        <v>118</v>
      </c>
      <c r="C22" s="35" t="s">
        <v>83</v>
      </c>
      <c r="D22" s="36" t="s">
        <v>69</v>
      </c>
      <c r="E22" s="38">
        <v>300</v>
      </c>
      <c r="F22" s="37">
        <v>0</v>
      </c>
      <c r="G22" s="37">
        <v>300</v>
      </c>
      <c r="H22" s="37">
        <f>IF(H$6="WL5",G:G*'Grants Rates'!E$5,)</f>
        <v>0</v>
      </c>
      <c r="I22" s="37">
        <f>IF(I$6="WL5",H:H*'Grants Rates'!F$5,)</f>
        <v>0</v>
      </c>
      <c r="J22" s="37">
        <f>IF(J$6="WL5",I:I*'Grants Rates'!G$5,)</f>
        <v>0</v>
      </c>
      <c r="K22" s="31">
        <v>0</v>
      </c>
      <c r="L22" s="68">
        <v>0</v>
      </c>
    </row>
    <row r="23" spans="1:12" ht="15.75" customHeight="1">
      <c r="A23" s="58" t="s">
        <v>77</v>
      </c>
      <c r="B23" s="34" t="s">
        <v>118</v>
      </c>
      <c r="C23" s="35" t="s">
        <v>84</v>
      </c>
      <c r="D23" s="36" t="s">
        <v>69</v>
      </c>
      <c r="E23" s="38">
        <v>1500</v>
      </c>
      <c r="F23" s="37">
        <f>E23/2</f>
        <v>750</v>
      </c>
      <c r="G23" s="37">
        <f>E23/2</f>
        <v>750</v>
      </c>
      <c r="H23" s="37">
        <v>0</v>
      </c>
      <c r="I23" s="37">
        <v>0</v>
      </c>
      <c r="J23" s="37">
        <v>0</v>
      </c>
      <c r="K23" s="32">
        <v>0</v>
      </c>
      <c r="L23" s="59">
        <v>0</v>
      </c>
    </row>
    <row r="24" spans="1:12" ht="15.75" customHeight="1">
      <c r="A24" s="58" t="s">
        <v>77</v>
      </c>
      <c r="B24" s="34" t="s">
        <v>118</v>
      </c>
      <c r="C24" s="35" t="s">
        <v>78</v>
      </c>
      <c r="D24" s="36" t="s">
        <v>69</v>
      </c>
      <c r="E24" s="38">
        <v>1350</v>
      </c>
      <c r="F24" s="37">
        <f>E24/2</f>
        <v>675</v>
      </c>
      <c r="G24" s="37">
        <f>E24/2</f>
        <v>675</v>
      </c>
      <c r="H24" s="37">
        <v>0</v>
      </c>
      <c r="I24" s="37">
        <v>0</v>
      </c>
      <c r="J24" s="37">
        <v>0</v>
      </c>
      <c r="K24" s="31">
        <v>0</v>
      </c>
      <c r="L24" s="59">
        <v>0</v>
      </c>
    </row>
    <row r="25" spans="1:12" ht="15.75" customHeight="1">
      <c r="A25" s="60" t="s">
        <v>77</v>
      </c>
      <c r="B25" s="27" t="s">
        <v>118</v>
      </c>
      <c r="C25" s="28" t="s">
        <v>79</v>
      </c>
      <c r="D25" s="29" t="s">
        <v>69</v>
      </c>
      <c r="E25" s="39">
        <v>500</v>
      </c>
      <c r="F25" s="30">
        <f>E25/2</f>
        <v>250</v>
      </c>
      <c r="G25" s="30">
        <f>E25/2</f>
        <v>250</v>
      </c>
      <c r="H25" s="30">
        <v>0</v>
      </c>
      <c r="I25" s="30">
        <v>0</v>
      </c>
      <c r="J25" s="30">
        <v>0</v>
      </c>
      <c r="K25" s="27">
        <v>0</v>
      </c>
      <c r="L25" s="66">
        <v>0</v>
      </c>
    </row>
    <row r="26" spans="1:12" ht="15.75" customHeight="1">
      <c r="A26" s="58" t="s">
        <v>77</v>
      </c>
      <c r="B26" s="31" t="s">
        <v>119</v>
      </c>
      <c r="C26" s="35" t="s">
        <v>94</v>
      </c>
      <c r="D26" s="36" t="s">
        <v>69</v>
      </c>
      <c r="E26" s="38">
        <f>3800*12</f>
        <v>45600</v>
      </c>
      <c r="F26" s="37">
        <v>0</v>
      </c>
      <c r="G26" s="37">
        <f>E26/2</f>
        <v>22800</v>
      </c>
      <c r="H26" s="37">
        <f>E26/2</f>
        <v>22800</v>
      </c>
      <c r="I26" s="37">
        <v>0</v>
      </c>
      <c r="J26" s="37">
        <v>0</v>
      </c>
      <c r="K26" s="31">
        <v>0</v>
      </c>
      <c r="L26" s="68">
        <v>0</v>
      </c>
    </row>
    <row r="27" spans="1:12" ht="15.75" customHeight="1">
      <c r="A27" s="58" t="s">
        <v>77</v>
      </c>
      <c r="B27" s="31" t="s">
        <v>119</v>
      </c>
      <c r="C27" s="69" t="s">
        <v>88</v>
      </c>
      <c r="D27" s="48" t="s">
        <v>69</v>
      </c>
      <c r="E27" s="38">
        <f>30*22*12</f>
        <v>7920</v>
      </c>
      <c r="F27" s="37">
        <v>0</v>
      </c>
      <c r="G27" s="37">
        <f t="shared" ref="G27:G31" si="0">E27/2</f>
        <v>3960</v>
      </c>
      <c r="H27" s="37">
        <f t="shared" ref="H27:H31" si="1">E27/2</f>
        <v>3960</v>
      </c>
      <c r="I27" s="37">
        <v>0</v>
      </c>
      <c r="J27" s="37">
        <v>0</v>
      </c>
      <c r="K27" s="32">
        <v>0</v>
      </c>
      <c r="L27" s="59">
        <v>0</v>
      </c>
    </row>
    <row r="28" spans="1:12" ht="15.75" customHeight="1">
      <c r="A28" s="58" t="s">
        <v>77</v>
      </c>
      <c r="B28" s="31" t="s">
        <v>119</v>
      </c>
      <c r="C28" s="35" t="s">
        <v>83</v>
      </c>
      <c r="D28" s="36" t="s">
        <v>69</v>
      </c>
      <c r="E28" s="38">
        <v>300</v>
      </c>
      <c r="F28" s="37">
        <v>0</v>
      </c>
      <c r="G28" s="37">
        <f t="shared" si="0"/>
        <v>150</v>
      </c>
      <c r="H28" s="37">
        <f t="shared" si="1"/>
        <v>150</v>
      </c>
      <c r="I28" s="37">
        <v>0</v>
      </c>
      <c r="J28" s="37">
        <v>0</v>
      </c>
      <c r="K28" s="31">
        <v>0</v>
      </c>
      <c r="L28" s="68">
        <v>0</v>
      </c>
    </row>
    <row r="29" spans="1:12" ht="15.75" customHeight="1">
      <c r="A29" s="58" t="s">
        <v>77</v>
      </c>
      <c r="B29" s="31" t="s">
        <v>119</v>
      </c>
      <c r="C29" s="35" t="s">
        <v>84</v>
      </c>
      <c r="D29" s="36" t="s">
        <v>69</v>
      </c>
      <c r="E29" s="38">
        <v>2500</v>
      </c>
      <c r="F29" s="37">
        <v>0</v>
      </c>
      <c r="G29" s="37">
        <f t="shared" si="0"/>
        <v>1250</v>
      </c>
      <c r="H29" s="37">
        <f t="shared" si="1"/>
        <v>1250</v>
      </c>
      <c r="I29" s="37">
        <v>0</v>
      </c>
      <c r="J29" s="37">
        <v>0</v>
      </c>
      <c r="K29" s="32">
        <v>0</v>
      </c>
      <c r="L29" s="59">
        <v>0</v>
      </c>
    </row>
    <row r="30" spans="1:12" ht="15.75" customHeight="1">
      <c r="A30" s="58" t="s">
        <v>77</v>
      </c>
      <c r="B30" s="31" t="s">
        <v>119</v>
      </c>
      <c r="C30" s="35" t="s">
        <v>78</v>
      </c>
      <c r="D30" s="36" t="s">
        <v>69</v>
      </c>
      <c r="E30" s="38">
        <v>1350</v>
      </c>
      <c r="F30" s="37">
        <v>0</v>
      </c>
      <c r="G30" s="37">
        <f t="shared" si="0"/>
        <v>675</v>
      </c>
      <c r="H30" s="37">
        <f t="shared" si="1"/>
        <v>675</v>
      </c>
      <c r="I30" s="37">
        <v>0</v>
      </c>
      <c r="J30" s="37">
        <v>0</v>
      </c>
      <c r="K30" s="31">
        <v>0</v>
      </c>
      <c r="L30" s="68">
        <v>0</v>
      </c>
    </row>
    <row r="31" spans="1:12" ht="15.75" customHeight="1">
      <c r="A31" s="60" t="s">
        <v>77</v>
      </c>
      <c r="B31" s="33" t="s">
        <v>119</v>
      </c>
      <c r="C31" s="28" t="s">
        <v>79</v>
      </c>
      <c r="D31" s="29" t="s">
        <v>69</v>
      </c>
      <c r="E31" s="39">
        <v>1000</v>
      </c>
      <c r="F31" s="30">
        <v>0</v>
      </c>
      <c r="G31" s="30">
        <f t="shared" si="0"/>
        <v>500</v>
      </c>
      <c r="H31" s="30">
        <f t="shared" si="1"/>
        <v>500</v>
      </c>
      <c r="I31" s="30">
        <v>0</v>
      </c>
      <c r="J31" s="30">
        <v>0</v>
      </c>
      <c r="K31" s="27">
        <v>0</v>
      </c>
      <c r="L31" s="66">
        <v>0</v>
      </c>
    </row>
    <row r="32" spans="1:12" ht="15.75" customHeight="1">
      <c r="A32" s="58" t="s">
        <v>77</v>
      </c>
      <c r="B32" s="31" t="s">
        <v>85</v>
      </c>
      <c r="C32" s="35" t="s">
        <v>86</v>
      </c>
      <c r="D32" s="36" t="s">
        <v>69</v>
      </c>
      <c r="E32" s="38">
        <f>3500*12</f>
        <v>42000</v>
      </c>
      <c r="F32" s="37">
        <v>0</v>
      </c>
      <c r="G32" s="37">
        <v>0</v>
      </c>
      <c r="H32" s="37">
        <v>0</v>
      </c>
      <c r="I32" s="37">
        <f>E32</f>
        <v>42000</v>
      </c>
      <c r="J32" s="37">
        <v>0</v>
      </c>
      <c r="K32" s="31">
        <v>0</v>
      </c>
      <c r="L32" s="68">
        <v>0</v>
      </c>
    </row>
    <row r="33" spans="1:14" ht="15.75" customHeight="1">
      <c r="A33" s="58" t="s">
        <v>77</v>
      </c>
      <c r="B33" s="31" t="s">
        <v>85</v>
      </c>
      <c r="C33" s="35" t="s">
        <v>76</v>
      </c>
      <c r="D33" s="36" t="s">
        <v>69</v>
      </c>
      <c r="E33" s="38">
        <f>30*22*12</f>
        <v>7920</v>
      </c>
      <c r="F33" s="37">
        <v>0</v>
      </c>
      <c r="G33" s="37">
        <v>0</v>
      </c>
      <c r="H33" s="37">
        <v>0</v>
      </c>
      <c r="I33" s="37">
        <f>E33</f>
        <v>7920</v>
      </c>
      <c r="J33" s="37">
        <v>0</v>
      </c>
      <c r="K33" s="32">
        <v>0</v>
      </c>
      <c r="L33" s="59">
        <v>0</v>
      </c>
    </row>
    <row r="34" spans="1:14" ht="15.75" customHeight="1">
      <c r="A34" s="58" t="s">
        <v>77</v>
      </c>
      <c r="B34" s="31" t="s">
        <v>85</v>
      </c>
      <c r="C34" s="35" t="s">
        <v>83</v>
      </c>
      <c r="D34" s="36" t="s">
        <v>69</v>
      </c>
      <c r="E34" s="38">
        <v>0</v>
      </c>
      <c r="F34" s="37">
        <v>0</v>
      </c>
      <c r="G34" s="37">
        <v>0</v>
      </c>
      <c r="H34" s="37">
        <v>0</v>
      </c>
      <c r="I34" s="37">
        <f t="shared" ref="I34:I37" si="2">E34</f>
        <v>0</v>
      </c>
      <c r="J34" s="37">
        <f>IF(J$6="WL5",I:I*'Grants Rates'!G$5,)</f>
        <v>0</v>
      </c>
      <c r="K34" s="31">
        <v>0</v>
      </c>
      <c r="L34" s="68">
        <v>0</v>
      </c>
    </row>
    <row r="35" spans="1:14" ht="15.75" customHeight="1">
      <c r="A35" s="58" t="s">
        <v>77</v>
      </c>
      <c r="B35" s="31" t="s">
        <v>85</v>
      </c>
      <c r="C35" s="35" t="s">
        <v>84</v>
      </c>
      <c r="D35" s="36" t="s">
        <v>69</v>
      </c>
      <c r="E35" s="38">
        <v>2500</v>
      </c>
      <c r="F35" s="37">
        <v>0</v>
      </c>
      <c r="G35" s="37">
        <v>0</v>
      </c>
      <c r="H35" s="37">
        <v>0</v>
      </c>
      <c r="I35" s="37">
        <f t="shared" si="2"/>
        <v>2500</v>
      </c>
      <c r="J35" s="37">
        <v>0</v>
      </c>
      <c r="K35" s="32">
        <v>0</v>
      </c>
      <c r="L35" s="59">
        <v>0</v>
      </c>
    </row>
    <row r="36" spans="1:14" ht="15.75" customHeight="1">
      <c r="A36" s="58" t="s">
        <v>77</v>
      </c>
      <c r="B36" s="31" t="s">
        <v>85</v>
      </c>
      <c r="C36" s="35" t="s">
        <v>78</v>
      </c>
      <c r="D36" s="36" t="s">
        <v>69</v>
      </c>
      <c r="E36" s="38">
        <v>1350</v>
      </c>
      <c r="F36" s="37">
        <v>0</v>
      </c>
      <c r="G36" s="37">
        <v>0</v>
      </c>
      <c r="H36" s="37">
        <v>0</v>
      </c>
      <c r="I36" s="37">
        <f t="shared" si="2"/>
        <v>1350</v>
      </c>
      <c r="J36" s="37">
        <v>0</v>
      </c>
      <c r="K36" s="31">
        <v>0</v>
      </c>
      <c r="L36" s="68">
        <v>0</v>
      </c>
    </row>
    <row r="37" spans="1:14" ht="15.75" customHeight="1">
      <c r="A37" s="60" t="s">
        <v>77</v>
      </c>
      <c r="B37" s="33" t="s">
        <v>85</v>
      </c>
      <c r="C37" s="28" t="s">
        <v>79</v>
      </c>
      <c r="D37" s="29" t="s">
        <v>69</v>
      </c>
      <c r="E37" s="39">
        <v>1000</v>
      </c>
      <c r="F37" s="30">
        <v>0</v>
      </c>
      <c r="G37" s="30">
        <v>0</v>
      </c>
      <c r="H37" s="30">
        <v>0</v>
      </c>
      <c r="I37" s="30">
        <f t="shared" si="2"/>
        <v>1000</v>
      </c>
      <c r="J37" s="30">
        <v>0</v>
      </c>
      <c r="K37" s="27">
        <v>0</v>
      </c>
      <c r="L37" s="66">
        <v>0</v>
      </c>
    </row>
    <row r="38" spans="1:14" ht="15.75" customHeight="1">
      <c r="A38" s="58" t="s">
        <v>77</v>
      </c>
      <c r="B38" s="31" t="s">
        <v>117</v>
      </c>
      <c r="C38" s="35" t="s">
        <v>86</v>
      </c>
      <c r="D38" s="36" t="s">
        <v>69</v>
      </c>
      <c r="E38" s="38">
        <f>3500*12</f>
        <v>42000</v>
      </c>
      <c r="F38" s="37">
        <v>0</v>
      </c>
      <c r="G38" s="37">
        <v>0</v>
      </c>
      <c r="H38" s="37">
        <v>42000</v>
      </c>
      <c r="I38" s="37">
        <v>0</v>
      </c>
      <c r="J38" s="37">
        <v>0</v>
      </c>
      <c r="K38" s="31">
        <v>0</v>
      </c>
      <c r="L38" s="68">
        <v>0</v>
      </c>
    </row>
    <row r="39" spans="1:14" ht="15.75" customHeight="1">
      <c r="A39" s="58" t="s">
        <v>77</v>
      </c>
      <c r="B39" s="31" t="s">
        <v>117</v>
      </c>
      <c r="C39" s="35" t="s">
        <v>76</v>
      </c>
      <c r="D39" s="36" t="s">
        <v>69</v>
      </c>
      <c r="E39" s="38">
        <f>30*22*12</f>
        <v>7920</v>
      </c>
      <c r="F39" s="37">
        <v>0</v>
      </c>
      <c r="G39" s="37">
        <v>0</v>
      </c>
      <c r="H39" s="37">
        <v>7920</v>
      </c>
      <c r="I39" s="37">
        <v>0</v>
      </c>
      <c r="J39" s="37">
        <v>0</v>
      </c>
      <c r="K39" s="32">
        <v>0</v>
      </c>
      <c r="L39" s="59">
        <v>0</v>
      </c>
    </row>
    <row r="40" spans="1:14" ht="15.75" customHeight="1">
      <c r="A40" s="58" t="s">
        <v>77</v>
      </c>
      <c r="B40" s="31" t="s">
        <v>117</v>
      </c>
      <c r="C40" s="35" t="s">
        <v>83</v>
      </c>
      <c r="D40" s="36" t="s">
        <v>69</v>
      </c>
      <c r="E40" s="38">
        <v>0</v>
      </c>
      <c r="F40" s="37">
        <v>0</v>
      </c>
      <c r="G40" s="37">
        <v>0</v>
      </c>
      <c r="H40" s="37">
        <v>0</v>
      </c>
      <c r="I40" s="37">
        <v>0</v>
      </c>
      <c r="J40" s="37">
        <f>IF(J$6="WL5",I:I*'Grants Rates'!G$5,)</f>
        <v>0</v>
      </c>
      <c r="K40" s="31">
        <v>0</v>
      </c>
      <c r="L40" s="68">
        <v>0</v>
      </c>
    </row>
    <row r="41" spans="1:14" ht="15.75" customHeight="1">
      <c r="A41" s="58" t="s">
        <v>77</v>
      </c>
      <c r="B41" s="31" t="s">
        <v>117</v>
      </c>
      <c r="C41" s="35" t="s">
        <v>84</v>
      </c>
      <c r="D41" s="36" t="s">
        <v>69</v>
      </c>
      <c r="E41" s="38">
        <v>2500</v>
      </c>
      <c r="F41" s="37">
        <v>0</v>
      </c>
      <c r="G41" s="37">
        <v>0</v>
      </c>
      <c r="H41" s="37">
        <v>2500</v>
      </c>
      <c r="I41" s="37">
        <v>0</v>
      </c>
      <c r="J41" s="37">
        <v>0</v>
      </c>
      <c r="K41" s="32">
        <v>0</v>
      </c>
      <c r="L41" s="59">
        <v>0</v>
      </c>
    </row>
    <row r="42" spans="1:14" ht="15.75" customHeight="1">
      <c r="A42" s="58" t="s">
        <v>77</v>
      </c>
      <c r="B42" s="31" t="s">
        <v>117</v>
      </c>
      <c r="C42" s="35" t="s">
        <v>78</v>
      </c>
      <c r="D42" s="36" t="s">
        <v>69</v>
      </c>
      <c r="E42" s="38">
        <v>1350</v>
      </c>
      <c r="F42" s="37">
        <v>0</v>
      </c>
      <c r="G42" s="37">
        <v>0</v>
      </c>
      <c r="H42" s="37">
        <v>750</v>
      </c>
      <c r="I42" s="37">
        <v>0</v>
      </c>
      <c r="J42" s="37">
        <v>0</v>
      </c>
      <c r="K42" s="31">
        <v>0</v>
      </c>
      <c r="L42" s="68">
        <v>0</v>
      </c>
    </row>
    <row r="43" spans="1:14" ht="15.75" customHeight="1">
      <c r="A43" s="60" t="s">
        <v>77</v>
      </c>
      <c r="B43" s="33" t="s">
        <v>117</v>
      </c>
      <c r="C43" s="28" t="s">
        <v>79</v>
      </c>
      <c r="D43" s="29" t="s">
        <v>69</v>
      </c>
      <c r="E43" s="39">
        <v>1000</v>
      </c>
      <c r="F43" s="30">
        <v>0</v>
      </c>
      <c r="G43" s="30">
        <v>0</v>
      </c>
      <c r="H43" s="30">
        <v>1000</v>
      </c>
      <c r="I43" s="30">
        <v>0</v>
      </c>
      <c r="J43" s="30">
        <v>0</v>
      </c>
      <c r="K43" s="27">
        <v>0</v>
      </c>
      <c r="L43" s="66">
        <v>0</v>
      </c>
    </row>
    <row r="44" spans="1:14" ht="15.75" customHeight="1">
      <c r="A44" s="58" t="s">
        <v>77</v>
      </c>
      <c r="B44" s="31" t="s">
        <v>87</v>
      </c>
      <c r="C44" s="35" t="s">
        <v>89</v>
      </c>
      <c r="D44" s="36" t="s">
        <v>69</v>
      </c>
      <c r="E44" s="38">
        <f>3800*12</f>
        <v>45600</v>
      </c>
      <c r="F44" s="37">
        <v>0</v>
      </c>
      <c r="G44" s="37">
        <v>0</v>
      </c>
      <c r="H44" s="37">
        <v>0</v>
      </c>
      <c r="I44" s="37">
        <v>0</v>
      </c>
      <c r="J44" s="37">
        <v>45600</v>
      </c>
      <c r="K44" s="31">
        <v>0</v>
      </c>
      <c r="L44" s="68">
        <v>0</v>
      </c>
    </row>
    <row r="45" spans="1:14" ht="15.75" customHeight="1">
      <c r="A45" s="58" t="s">
        <v>77</v>
      </c>
      <c r="B45" s="31" t="s">
        <v>87</v>
      </c>
      <c r="C45" s="70" t="s">
        <v>88</v>
      </c>
      <c r="D45" s="71" t="s">
        <v>69</v>
      </c>
      <c r="E45" s="40">
        <f>30*30*12</f>
        <v>10800</v>
      </c>
      <c r="F45" s="37">
        <v>0</v>
      </c>
      <c r="G45" s="37">
        <v>0</v>
      </c>
      <c r="H45" s="37">
        <v>0</v>
      </c>
      <c r="I45" s="37">
        <v>0</v>
      </c>
      <c r="J45" s="37">
        <v>10800</v>
      </c>
      <c r="K45" s="32">
        <v>0</v>
      </c>
      <c r="L45" s="59">
        <v>0</v>
      </c>
      <c r="N45">
        <f>J45/12*8</f>
        <v>7200</v>
      </c>
    </row>
    <row r="46" spans="1:14" ht="15.75" customHeight="1">
      <c r="A46" s="58" t="s">
        <v>77</v>
      </c>
      <c r="B46" s="31" t="s">
        <v>87</v>
      </c>
      <c r="C46" s="35" t="s">
        <v>83</v>
      </c>
      <c r="D46" s="36" t="s">
        <v>69</v>
      </c>
      <c r="E46" s="38">
        <v>300</v>
      </c>
      <c r="F46" s="37">
        <v>0</v>
      </c>
      <c r="G46" s="37">
        <v>0</v>
      </c>
      <c r="H46" s="37">
        <v>0</v>
      </c>
      <c r="I46" s="37">
        <v>0</v>
      </c>
      <c r="J46" s="37">
        <v>300</v>
      </c>
      <c r="K46" s="31">
        <v>0</v>
      </c>
      <c r="L46" s="68">
        <v>0</v>
      </c>
    </row>
    <row r="47" spans="1:14" ht="15.75" customHeight="1">
      <c r="A47" s="58" t="s">
        <v>77</v>
      </c>
      <c r="B47" s="31" t="s">
        <v>87</v>
      </c>
      <c r="C47" s="35" t="s">
        <v>84</v>
      </c>
      <c r="D47" s="36" t="s">
        <v>69</v>
      </c>
      <c r="E47" s="38">
        <v>2500</v>
      </c>
      <c r="F47" s="37">
        <v>0</v>
      </c>
      <c r="G47" s="37">
        <v>0</v>
      </c>
      <c r="H47" s="37">
        <v>0</v>
      </c>
      <c r="I47" s="37">
        <v>0</v>
      </c>
      <c r="J47" s="37">
        <v>2500</v>
      </c>
      <c r="K47" s="32">
        <v>0</v>
      </c>
      <c r="L47" s="59">
        <v>0</v>
      </c>
    </row>
    <row r="48" spans="1:14" ht="15.75" customHeight="1">
      <c r="A48" s="58" t="s">
        <v>77</v>
      </c>
      <c r="B48" s="31" t="s">
        <v>87</v>
      </c>
      <c r="C48" s="35" t="s">
        <v>78</v>
      </c>
      <c r="D48" s="36" t="s">
        <v>69</v>
      </c>
      <c r="E48" s="38">
        <v>1350</v>
      </c>
      <c r="F48" s="37">
        <v>0</v>
      </c>
      <c r="G48" s="37">
        <v>0</v>
      </c>
      <c r="H48" s="37">
        <v>0</v>
      </c>
      <c r="I48" s="37">
        <v>0</v>
      </c>
      <c r="J48" s="37">
        <v>750</v>
      </c>
      <c r="K48" s="31">
        <v>0</v>
      </c>
      <c r="L48" s="68">
        <v>0</v>
      </c>
    </row>
    <row r="49" spans="1:14" ht="15.75" customHeight="1">
      <c r="A49" s="60" t="s">
        <v>77</v>
      </c>
      <c r="B49" s="33" t="s">
        <v>87</v>
      </c>
      <c r="C49" s="28" t="s">
        <v>79</v>
      </c>
      <c r="D49" s="29" t="s">
        <v>69</v>
      </c>
      <c r="E49" s="39">
        <v>1000</v>
      </c>
      <c r="F49" s="30">
        <v>0</v>
      </c>
      <c r="G49" s="30">
        <v>0</v>
      </c>
      <c r="H49" s="30">
        <v>0</v>
      </c>
      <c r="I49" s="30">
        <v>0</v>
      </c>
      <c r="J49" s="30">
        <v>1000</v>
      </c>
      <c r="K49" s="27">
        <v>0</v>
      </c>
      <c r="L49" s="66">
        <v>0</v>
      </c>
    </row>
    <row r="50" spans="1:14" ht="15.75" customHeight="1">
      <c r="A50" s="58" t="s">
        <v>77</v>
      </c>
      <c r="B50" s="31" t="s">
        <v>91</v>
      </c>
      <c r="C50" s="35" t="s">
        <v>92</v>
      </c>
      <c r="D50" s="36" t="s">
        <v>69</v>
      </c>
      <c r="E50" s="38">
        <f>3800*12</f>
        <v>45600</v>
      </c>
      <c r="F50" s="37">
        <v>0</v>
      </c>
      <c r="G50" s="37">
        <v>0</v>
      </c>
      <c r="H50" s="37">
        <v>0</v>
      </c>
      <c r="I50" s="37">
        <v>0</v>
      </c>
      <c r="J50" s="37">
        <v>45600</v>
      </c>
      <c r="K50" s="31">
        <v>0</v>
      </c>
      <c r="L50" s="68">
        <v>0</v>
      </c>
    </row>
    <row r="51" spans="1:14" ht="15.75" customHeight="1">
      <c r="A51" s="58" t="s">
        <v>77</v>
      </c>
      <c r="B51" s="31" t="s">
        <v>91</v>
      </c>
      <c r="C51" s="35" t="s">
        <v>76</v>
      </c>
      <c r="D51" s="48" t="s">
        <v>69</v>
      </c>
      <c r="E51" s="41">
        <f>30*22*12</f>
        <v>7920</v>
      </c>
      <c r="F51" s="37">
        <v>0</v>
      </c>
      <c r="G51" s="37">
        <v>0</v>
      </c>
      <c r="H51" s="37">
        <v>0</v>
      </c>
      <c r="I51" s="37">
        <v>0</v>
      </c>
      <c r="J51" s="37">
        <v>7920</v>
      </c>
      <c r="K51" s="32">
        <v>0</v>
      </c>
      <c r="L51" s="59">
        <v>0</v>
      </c>
      <c r="N51">
        <f>J51/12*8</f>
        <v>5280</v>
      </c>
    </row>
    <row r="52" spans="1:14" ht="15.75" customHeight="1">
      <c r="A52" s="58" t="s">
        <v>77</v>
      </c>
      <c r="B52" s="31" t="s">
        <v>91</v>
      </c>
      <c r="C52" s="35" t="s">
        <v>83</v>
      </c>
      <c r="D52" s="36" t="s">
        <v>69</v>
      </c>
      <c r="E52" s="38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1">
        <v>0</v>
      </c>
      <c r="L52" s="68">
        <v>0</v>
      </c>
    </row>
    <row r="53" spans="1:14" ht="15.75" customHeight="1">
      <c r="A53" s="58" t="s">
        <v>77</v>
      </c>
      <c r="B53" s="31" t="s">
        <v>91</v>
      </c>
      <c r="C53" s="35" t="s">
        <v>84</v>
      </c>
      <c r="D53" s="36" t="s">
        <v>69</v>
      </c>
      <c r="E53" s="38">
        <v>2500</v>
      </c>
      <c r="F53" s="37">
        <v>0</v>
      </c>
      <c r="G53" s="37">
        <v>0</v>
      </c>
      <c r="H53" s="37">
        <v>0</v>
      </c>
      <c r="I53" s="37">
        <v>0</v>
      </c>
      <c r="J53" s="37">
        <v>2500</v>
      </c>
      <c r="K53" s="32">
        <v>0</v>
      </c>
      <c r="L53" s="59">
        <v>0</v>
      </c>
    </row>
    <row r="54" spans="1:14" ht="15.75" customHeight="1">
      <c r="A54" s="58" t="s">
        <v>77</v>
      </c>
      <c r="B54" s="31" t="s">
        <v>91</v>
      </c>
      <c r="C54" s="35" t="s">
        <v>78</v>
      </c>
      <c r="D54" s="36" t="s">
        <v>69</v>
      </c>
      <c r="E54" s="38">
        <v>1350</v>
      </c>
      <c r="F54" s="37">
        <v>0</v>
      </c>
      <c r="G54" s="37">
        <v>0</v>
      </c>
      <c r="H54" s="37">
        <v>0</v>
      </c>
      <c r="I54" s="37">
        <v>0</v>
      </c>
      <c r="J54" s="37">
        <v>750</v>
      </c>
      <c r="K54" s="31">
        <v>0</v>
      </c>
      <c r="L54" s="68">
        <v>0</v>
      </c>
    </row>
    <row r="55" spans="1:14" ht="15.75" customHeight="1">
      <c r="A55" s="60" t="s">
        <v>77</v>
      </c>
      <c r="B55" s="33" t="s">
        <v>91</v>
      </c>
      <c r="C55" s="28" t="s">
        <v>79</v>
      </c>
      <c r="D55" s="29" t="s">
        <v>69</v>
      </c>
      <c r="E55" s="39">
        <v>500</v>
      </c>
      <c r="F55" s="30">
        <v>0</v>
      </c>
      <c r="G55" s="30">
        <v>0</v>
      </c>
      <c r="H55" s="30">
        <v>0</v>
      </c>
      <c r="I55" s="30">
        <v>0</v>
      </c>
      <c r="J55" s="30">
        <v>500</v>
      </c>
      <c r="K55" s="27">
        <v>0</v>
      </c>
      <c r="L55" s="66">
        <v>0</v>
      </c>
    </row>
    <row r="56" spans="1:14" ht="15.75" customHeight="1">
      <c r="A56" s="58" t="s">
        <v>77</v>
      </c>
      <c r="B56" s="31" t="s">
        <v>90</v>
      </c>
      <c r="C56" s="35" t="s">
        <v>93</v>
      </c>
      <c r="D56" s="36" t="s">
        <v>69</v>
      </c>
      <c r="E56" s="38">
        <f>3800*12</f>
        <v>45600</v>
      </c>
      <c r="F56" s="37">
        <v>0</v>
      </c>
      <c r="G56" s="37">
        <v>0</v>
      </c>
      <c r="H56" s="37">
        <v>0</v>
      </c>
      <c r="I56" s="37">
        <v>0</v>
      </c>
      <c r="J56" s="37">
        <v>45600</v>
      </c>
      <c r="K56" s="31">
        <v>0</v>
      </c>
      <c r="L56" s="68">
        <v>0</v>
      </c>
    </row>
    <row r="57" spans="1:14" ht="15.75" customHeight="1">
      <c r="A57" s="58" t="s">
        <v>77</v>
      </c>
      <c r="B57" s="31" t="s">
        <v>90</v>
      </c>
      <c r="C57" s="35" t="s">
        <v>76</v>
      </c>
      <c r="D57" s="48" t="s">
        <v>69</v>
      </c>
      <c r="E57" s="41">
        <f>30*22*12</f>
        <v>7920</v>
      </c>
      <c r="F57" s="37">
        <v>0</v>
      </c>
      <c r="G57" s="37">
        <v>0</v>
      </c>
      <c r="H57" s="37">
        <v>0</v>
      </c>
      <c r="I57" s="37">
        <v>0</v>
      </c>
      <c r="J57" s="37">
        <v>7920</v>
      </c>
      <c r="K57" s="32">
        <v>0</v>
      </c>
      <c r="L57" s="59">
        <v>0</v>
      </c>
      <c r="N57">
        <f>J57/12*8</f>
        <v>5280</v>
      </c>
    </row>
    <row r="58" spans="1:14" ht="15.75" customHeight="1">
      <c r="A58" s="58" t="s">
        <v>77</v>
      </c>
      <c r="B58" s="31" t="s">
        <v>90</v>
      </c>
      <c r="C58" s="35" t="s">
        <v>83</v>
      </c>
      <c r="D58" s="36" t="s">
        <v>69</v>
      </c>
      <c r="E58" s="38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1">
        <v>0</v>
      </c>
      <c r="L58" s="68">
        <v>0</v>
      </c>
    </row>
    <row r="59" spans="1:14" ht="15.75" customHeight="1">
      <c r="A59" s="58" t="s">
        <v>77</v>
      </c>
      <c r="B59" s="31" t="s">
        <v>90</v>
      </c>
      <c r="C59" s="35" t="s">
        <v>84</v>
      </c>
      <c r="D59" s="36" t="s">
        <v>69</v>
      </c>
      <c r="E59" s="38">
        <v>2500</v>
      </c>
      <c r="F59" s="37">
        <v>0</v>
      </c>
      <c r="G59" s="37">
        <v>0</v>
      </c>
      <c r="H59" s="37">
        <v>0</v>
      </c>
      <c r="I59" s="37">
        <v>0</v>
      </c>
      <c r="J59" s="37">
        <v>2500</v>
      </c>
      <c r="K59" s="32">
        <v>0</v>
      </c>
      <c r="L59" s="59">
        <v>0</v>
      </c>
    </row>
    <row r="60" spans="1:14" ht="15.75" customHeight="1">
      <c r="A60" s="58" t="s">
        <v>77</v>
      </c>
      <c r="B60" s="31" t="s">
        <v>90</v>
      </c>
      <c r="C60" s="35" t="s">
        <v>78</v>
      </c>
      <c r="D60" s="36" t="s">
        <v>69</v>
      </c>
      <c r="E60" s="38">
        <v>1350</v>
      </c>
      <c r="F60" s="37">
        <v>0</v>
      </c>
      <c r="G60" s="37">
        <v>0</v>
      </c>
      <c r="H60" s="37">
        <v>0</v>
      </c>
      <c r="I60" s="37">
        <v>0</v>
      </c>
      <c r="J60" s="37">
        <v>750</v>
      </c>
      <c r="K60" s="31">
        <v>0</v>
      </c>
      <c r="L60" s="68">
        <v>0</v>
      </c>
    </row>
    <row r="61" spans="1:14" ht="15.75" customHeight="1">
      <c r="A61" s="60" t="s">
        <v>77</v>
      </c>
      <c r="B61" s="33" t="s">
        <v>90</v>
      </c>
      <c r="C61" s="28" t="s">
        <v>79</v>
      </c>
      <c r="D61" s="29" t="s">
        <v>69</v>
      </c>
      <c r="E61" s="39">
        <v>1000</v>
      </c>
      <c r="F61" s="30">
        <v>0</v>
      </c>
      <c r="G61" s="30">
        <v>0</v>
      </c>
      <c r="H61" s="30">
        <v>0</v>
      </c>
      <c r="I61" s="30">
        <v>0</v>
      </c>
      <c r="J61" s="30">
        <v>500</v>
      </c>
      <c r="K61" s="27">
        <v>0</v>
      </c>
      <c r="L61" s="66">
        <v>0</v>
      </c>
    </row>
    <row r="62" spans="1:14" ht="15.75" customHeight="1">
      <c r="A62" s="58" t="s">
        <v>77</v>
      </c>
      <c r="B62" s="31" t="s">
        <v>95</v>
      </c>
      <c r="C62" s="35" t="s">
        <v>86</v>
      </c>
      <c r="D62" s="36" t="s">
        <v>69</v>
      </c>
      <c r="E62" s="38">
        <f>3500*12</f>
        <v>42000</v>
      </c>
      <c r="F62" s="37">
        <v>0</v>
      </c>
      <c r="G62" s="37">
        <v>0</v>
      </c>
      <c r="H62" s="37">
        <v>0</v>
      </c>
      <c r="I62" s="37">
        <v>0</v>
      </c>
      <c r="J62" s="37">
        <v>42000</v>
      </c>
      <c r="K62" s="31">
        <v>0</v>
      </c>
      <c r="L62" s="68">
        <v>0</v>
      </c>
    </row>
    <row r="63" spans="1:14" ht="15.75" customHeight="1">
      <c r="A63" s="58" t="s">
        <v>77</v>
      </c>
      <c r="B63" s="31" t="s">
        <v>95</v>
      </c>
      <c r="C63" s="35" t="s">
        <v>76</v>
      </c>
      <c r="D63" s="36" t="s">
        <v>69</v>
      </c>
      <c r="E63" s="38">
        <f>30*22*12</f>
        <v>7920</v>
      </c>
      <c r="F63" s="37">
        <v>0</v>
      </c>
      <c r="G63" s="37">
        <v>0</v>
      </c>
      <c r="H63" s="37">
        <v>0</v>
      </c>
      <c r="I63" s="37">
        <v>0</v>
      </c>
      <c r="J63" s="37">
        <v>7920</v>
      </c>
      <c r="K63" s="32">
        <v>0</v>
      </c>
      <c r="L63" s="59">
        <v>0</v>
      </c>
      <c r="N63">
        <f>J63/12*8</f>
        <v>5280</v>
      </c>
    </row>
    <row r="64" spans="1:14" ht="15.75" customHeight="1">
      <c r="A64" s="58" t="s">
        <v>77</v>
      </c>
      <c r="B64" s="31" t="s">
        <v>95</v>
      </c>
      <c r="C64" s="35" t="s">
        <v>83</v>
      </c>
      <c r="D64" s="36" t="s">
        <v>69</v>
      </c>
      <c r="E64" s="38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1">
        <v>0</v>
      </c>
      <c r="L64" s="68">
        <v>0</v>
      </c>
    </row>
    <row r="65" spans="1:14" ht="15.75" customHeight="1">
      <c r="A65" s="58" t="s">
        <v>77</v>
      </c>
      <c r="B65" s="31" t="s">
        <v>95</v>
      </c>
      <c r="C65" s="35" t="s">
        <v>84</v>
      </c>
      <c r="D65" s="36" t="s">
        <v>69</v>
      </c>
      <c r="E65" s="38">
        <v>2500</v>
      </c>
      <c r="F65" s="37">
        <v>0</v>
      </c>
      <c r="G65" s="37">
        <v>0</v>
      </c>
      <c r="H65" s="37">
        <v>0</v>
      </c>
      <c r="I65" s="37">
        <v>0</v>
      </c>
      <c r="J65" s="37">
        <v>2500</v>
      </c>
      <c r="K65" s="32">
        <v>0</v>
      </c>
      <c r="L65" s="59">
        <v>0</v>
      </c>
    </row>
    <row r="66" spans="1:14" ht="15.75" customHeight="1">
      <c r="A66" s="58" t="s">
        <v>77</v>
      </c>
      <c r="B66" s="31" t="s">
        <v>95</v>
      </c>
      <c r="C66" s="35" t="s">
        <v>78</v>
      </c>
      <c r="D66" s="36" t="s">
        <v>69</v>
      </c>
      <c r="E66" s="38">
        <v>1350</v>
      </c>
      <c r="F66" s="37">
        <v>0</v>
      </c>
      <c r="G66" s="37">
        <v>0</v>
      </c>
      <c r="H66" s="37">
        <v>0</v>
      </c>
      <c r="I66" s="37">
        <v>0</v>
      </c>
      <c r="J66" s="37">
        <v>750</v>
      </c>
      <c r="K66" s="31">
        <v>0</v>
      </c>
      <c r="L66" s="68">
        <v>0</v>
      </c>
    </row>
    <row r="67" spans="1:14" ht="15.75" customHeight="1">
      <c r="A67" s="60" t="s">
        <v>77</v>
      </c>
      <c r="B67" s="33" t="s">
        <v>95</v>
      </c>
      <c r="C67" s="28" t="s">
        <v>79</v>
      </c>
      <c r="D67" s="29" t="s">
        <v>69</v>
      </c>
      <c r="E67" s="39">
        <v>1000</v>
      </c>
      <c r="F67" s="30">
        <v>0</v>
      </c>
      <c r="G67" s="30">
        <v>0</v>
      </c>
      <c r="H67" s="30">
        <v>0</v>
      </c>
      <c r="I67" s="30">
        <v>0</v>
      </c>
      <c r="J67" s="30">
        <v>1000</v>
      </c>
      <c r="K67" s="27">
        <v>0</v>
      </c>
      <c r="L67" s="66">
        <v>0</v>
      </c>
    </row>
    <row r="68" spans="1:14" ht="15.75" customHeight="1">
      <c r="A68" s="58" t="s">
        <v>77</v>
      </c>
      <c r="B68" s="31" t="s">
        <v>96</v>
      </c>
      <c r="C68" s="35" t="s">
        <v>219</v>
      </c>
      <c r="D68" s="36" t="s">
        <v>69</v>
      </c>
      <c r="E68" s="38">
        <f>3500*12</f>
        <v>42000</v>
      </c>
      <c r="F68" s="37">
        <v>0</v>
      </c>
      <c r="G68" s="37">
        <v>0</v>
      </c>
      <c r="H68" s="37">
        <v>0</v>
      </c>
      <c r="I68" s="37">
        <v>0</v>
      </c>
      <c r="J68" s="37">
        <v>42000</v>
      </c>
      <c r="K68" s="31">
        <v>0</v>
      </c>
      <c r="L68" s="68">
        <v>0</v>
      </c>
    </row>
    <row r="69" spans="1:14" ht="15.75" customHeight="1">
      <c r="A69" s="58" t="s">
        <v>77</v>
      </c>
      <c r="B69" s="31" t="s">
        <v>96</v>
      </c>
      <c r="C69" s="35" t="s">
        <v>76</v>
      </c>
      <c r="D69" s="36" t="s">
        <v>69</v>
      </c>
      <c r="E69" s="38">
        <f>30*22*12</f>
        <v>7920</v>
      </c>
      <c r="F69" s="37">
        <v>0</v>
      </c>
      <c r="G69" s="37">
        <v>0</v>
      </c>
      <c r="H69" s="37">
        <v>0</v>
      </c>
      <c r="I69" s="37">
        <v>0</v>
      </c>
      <c r="J69" s="37">
        <v>7920</v>
      </c>
      <c r="K69" s="32">
        <v>0</v>
      </c>
      <c r="L69" s="59">
        <v>0</v>
      </c>
      <c r="N69">
        <f>J69/12*8</f>
        <v>5280</v>
      </c>
    </row>
    <row r="70" spans="1:14" ht="15.75" customHeight="1">
      <c r="A70" s="58" t="s">
        <v>77</v>
      </c>
      <c r="B70" s="31" t="s">
        <v>96</v>
      </c>
      <c r="C70" s="35" t="s">
        <v>83</v>
      </c>
      <c r="D70" s="36" t="s">
        <v>69</v>
      </c>
      <c r="E70" s="38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1">
        <v>0</v>
      </c>
      <c r="L70" s="68">
        <v>0</v>
      </c>
    </row>
    <row r="71" spans="1:14" ht="15.75" customHeight="1">
      <c r="A71" s="58" t="s">
        <v>77</v>
      </c>
      <c r="B71" s="31" t="s">
        <v>96</v>
      </c>
      <c r="C71" s="35" t="s">
        <v>84</v>
      </c>
      <c r="D71" s="36" t="s">
        <v>69</v>
      </c>
      <c r="E71" s="38">
        <v>2500</v>
      </c>
      <c r="F71" s="37">
        <v>0</v>
      </c>
      <c r="G71" s="37">
        <v>0</v>
      </c>
      <c r="H71" s="37">
        <v>0</v>
      </c>
      <c r="I71" s="37">
        <v>0</v>
      </c>
      <c r="J71" s="37">
        <v>2500</v>
      </c>
      <c r="K71" s="32">
        <v>0</v>
      </c>
      <c r="L71" s="59">
        <v>0</v>
      </c>
    </row>
    <row r="72" spans="1:14" ht="15.75" customHeight="1">
      <c r="A72" s="58" t="s">
        <v>77</v>
      </c>
      <c r="B72" s="31" t="s">
        <v>96</v>
      </c>
      <c r="C72" s="35" t="s">
        <v>78</v>
      </c>
      <c r="D72" s="36" t="s">
        <v>69</v>
      </c>
      <c r="E72" s="38">
        <v>1350</v>
      </c>
      <c r="F72" s="37">
        <v>0</v>
      </c>
      <c r="G72" s="37">
        <v>0</v>
      </c>
      <c r="H72" s="37">
        <v>0</v>
      </c>
      <c r="I72" s="37">
        <v>0</v>
      </c>
      <c r="J72" s="37">
        <v>750</v>
      </c>
      <c r="K72" s="31">
        <v>0</v>
      </c>
      <c r="L72" s="68">
        <v>0</v>
      </c>
    </row>
    <row r="73" spans="1:14" ht="15.75" customHeight="1">
      <c r="A73" s="60" t="s">
        <v>77</v>
      </c>
      <c r="B73" s="33" t="s">
        <v>96</v>
      </c>
      <c r="C73" s="28" t="s">
        <v>79</v>
      </c>
      <c r="D73" s="29" t="s">
        <v>69</v>
      </c>
      <c r="E73" s="39">
        <v>1000</v>
      </c>
      <c r="F73" s="30">
        <v>0</v>
      </c>
      <c r="G73" s="30">
        <v>0</v>
      </c>
      <c r="H73" s="30">
        <v>0</v>
      </c>
      <c r="I73" s="30">
        <v>0</v>
      </c>
      <c r="J73" s="30">
        <v>1000</v>
      </c>
      <c r="K73" s="27">
        <v>0</v>
      </c>
      <c r="L73" s="66">
        <v>0</v>
      </c>
    </row>
    <row r="74" spans="1:14" ht="15.75" customHeight="1">
      <c r="A74" s="58" t="s">
        <v>77</v>
      </c>
      <c r="B74" s="31" t="s">
        <v>97</v>
      </c>
      <c r="C74" s="35" t="s">
        <v>86</v>
      </c>
      <c r="D74" s="36" t="s">
        <v>69</v>
      </c>
      <c r="E74" s="38">
        <f>3500*12</f>
        <v>42000</v>
      </c>
      <c r="F74" s="37">
        <v>0</v>
      </c>
      <c r="G74" s="37">
        <v>0</v>
      </c>
      <c r="H74" s="37">
        <v>0</v>
      </c>
      <c r="I74" s="37">
        <v>0</v>
      </c>
      <c r="J74" s="37">
        <v>42000</v>
      </c>
      <c r="K74" s="31">
        <v>0</v>
      </c>
      <c r="L74" s="68">
        <v>0</v>
      </c>
    </row>
    <row r="75" spans="1:14" ht="15.75" customHeight="1">
      <c r="A75" s="58" t="s">
        <v>77</v>
      </c>
      <c r="B75" s="31" t="s">
        <v>97</v>
      </c>
      <c r="C75" s="35" t="s">
        <v>76</v>
      </c>
      <c r="D75" s="36" t="s">
        <v>69</v>
      </c>
      <c r="E75" s="38">
        <f>30*22*12</f>
        <v>7920</v>
      </c>
      <c r="F75" s="37">
        <v>0</v>
      </c>
      <c r="G75" s="37">
        <v>0</v>
      </c>
      <c r="H75" s="37">
        <v>0</v>
      </c>
      <c r="I75" s="37">
        <v>0</v>
      </c>
      <c r="J75" s="37">
        <v>7920</v>
      </c>
      <c r="K75" s="32">
        <v>0</v>
      </c>
      <c r="L75" s="59">
        <v>0</v>
      </c>
      <c r="N75">
        <f>J75/12*8</f>
        <v>5280</v>
      </c>
    </row>
    <row r="76" spans="1:14" ht="15.75" customHeight="1">
      <c r="A76" s="58" t="s">
        <v>77</v>
      </c>
      <c r="B76" s="31" t="s">
        <v>97</v>
      </c>
      <c r="C76" s="35" t="s">
        <v>83</v>
      </c>
      <c r="D76" s="36" t="s">
        <v>69</v>
      </c>
      <c r="E76" s="38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1">
        <v>0</v>
      </c>
      <c r="L76" s="68">
        <v>0</v>
      </c>
    </row>
    <row r="77" spans="1:14" ht="15.75" customHeight="1">
      <c r="A77" s="58" t="s">
        <v>77</v>
      </c>
      <c r="B77" s="31" t="s">
        <v>97</v>
      </c>
      <c r="C77" s="35" t="s">
        <v>84</v>
      </c>
      <c r="D77" s="36" t="s">
        <v>69</v>
      </c>
      <c r="E77" s="38">
        <v>2500</v>
      </c>
      <c r="F77" s="37">
        <v>0</v>
      </c>
      <c r="G77" s="37">
        <v>0</v>
      </c>
      <c r="H77" s="37">
        <v>0</v>
      </c>
      <c r="I77" s="37">
        <v>0</v>
      </c>
      <c r="J77" s="37">
        <v>2500</v>
      </c>
      <c r="K77" s="32">
        <v>0</v>
      </c>
      <c r="L77" s="59">
        <v>0</v>
      </c>
    </row>
    <row r="78" spans="1:14" ht="15.75" customHeight="1">
      <c r="A78" s="58" t="s">
        <v>77</v>
      </c>
      <c r="B78" s="31" t="s">
        <v>97</v>
      </c>
      <c r="C78" s="35" t="s">
        <v>78</v>
      </c>
      <c r="D78" s="36" t="s">
        <v>69</v>
      </c>
      <c r="E78" s="38">
        <v>1350</v>
      </c>
      <c r="F78" s="37">
        <v>0</v>
      </c>
      <c r="G78" s="37">
        <v>0</v>
      </c>
      <c r="H78" s="37">
        <v>0</v>
      </c>
      <c r="I78" s="37">
        <v>0</v>
      </c>
      <c r="J78" s="37">
        <v>750</v>
      </c>
      <c r="K78" s="31">
        <v>0</v>
      </c>
      <c r="L78" s="68">
        <v>0</v>
      </c>
    </row>
    <row r="79" spans="1:14" ht="15.75" customHeight="1">
      <c r="A79" s="60" t="s">
        <v>77</v>
      </c>
      <c r="B79" s="33" t="s">
        <v>97</v>
      </c>
      <c r="C79" s="28" t="s">
        <v>79</v>
      </c>
      <c r="D79" s="29" t="s">
        <v>69</v>
      </c>
      <c r="E79" s="39">
        <v>1000</v>
      </c>
      <c r="F79" s="30">
        <v>0</v>
      </c>
      <c r="G79" s="30">
        <v>0</v>
      </c>
      <c r="H79" s="30">
        <v>0</v>
      </c>
      <c r="I79" s="30">
        <v>0</v>
      </c>
      <c r="J79" s="30">
        <v>1000</v>
      </c>
      <c r="K79" s="27">
        <v>0</v>
      </c>
      <c r="L79" s="66">
        <v>0</v>
      </c>
    </row>
    <row r="80" spans="1:14" ht="15.75" customHeight="1">
      <c r="A80" s="58" t="s">
        <v>77</v>
      </c>
      <c r="B80" s="31" t="s">
        <v>98</v>
      </c>
      <c r="C80" s="35" t="s">
        <v>86</v>
      </c>
      <c r="D80" s="36" t="s">
        <v>69</v>
      </c>
      <c r="E80" s="38">
        <f>3500*12</f>
        <v>42000</v>
      </c>
      <c r="F80" s="37">
        <v>0</v>
      </c>
      <c r="G80" s="37">
        <v>0</v>
      </c>
      <c r="H80" s="37">
        <v>0</v>
      </c>
      <c r="I80" s="37">
        <v>0</v>
      </c>
      <c r="J80" s="37">
        <v>42000</v>
      </c>
      <c r="K80" s="31">
        <v>0</v>
      </c>
      <c r="L80" s="68">
        <v>0</v>
      </c>
    </row>
    <row r="81" spans="1:14" ht="15.75" customHeight="1">
      <c r="A81" s="58" t="s">
        <v>77</v>
      </c>
      <c r="B81" s="31" t="s">
        <v>98</v>
      </c>
      <c r="C81" s="35" t="s">
        <v>76</v>
      </c>
      <c r="D81" s="36" t="s">
        <v>69</v>
      </c>
      <c r="E81" s="38">
        <f>30*22*12</f>
        <v>7920</v>
      </c>
      <c r="F81" s="37">
        <v>0</v>
      </c>
      <c r="G81" s="37">
        <v>0</v>
      </c>
      <c r="H81" s="37">
        <v>0</v>
      </c>
      <c r="I81" s="37">
        <v>0</v>
      </c>
      <c r="J81" s="37">
        <v>7920</v>
      </c>
      <c r="K81" s="32">
        <v>0</v>
      </c>
      <c r="L81" s="59">
        <v>0</v>
      </c>
      <c r="N81">
        <f>J81/12*8</f>
        <v>5280</v>
      </c>
    </row>
    <row r="82" spans="1:14" ht="15.75" customHeight="1">
      <c r="A82" s="58" t="s">
        <v>77</v>
      </c>
      <c r="B82" s="31" t="s">
        <v>98</v>
      </c>
      <c r="C82" s="35" t="s">
        <v>83</v>
      </c>
      <c r="D82" s="36" t="s">
        <v>69</v>
      </c>
      <c r="E82" s="38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1">
        <v>0</v>
      </c>
      <c r="L82" s="68">
        <v>0</v>
      </c>
    </row>
    <row r="83" spans="1:14" ht="15.75" customHeight="1">
      <c r="A83" s="58" t="s">
        <v>77</v>
      </c>
      <c r="B83" s="31" t="s">
        <v>98</v>
      </c>
      <c r="C83" s="35" t="s">
        <v>84</v>
      </c>
      <c r="D83" s="36" t="s">
        <v>69</v>
      </c>
      <c r="E83" s="38">
        <v>2500</v>
      </c>
      <c r="F83" s="37">
        <v>0</v>
      </c>
      <c r="G83" s="37">
        <v>0</v>
      </c>
      <c r="H83" s="37">
        <v>0</v>
      </c>
      <c r="I83" s="37">
        <v>0</v>
      </c>
      <c r="J83" s="37">
        <v>2500</v>
      </c>
      <c r="K83" s="32">
        <v>0</v>
      </c>
      <c r="L83" s="59">
        <v>0</v>
      </c>
    </row>
    <row r="84" spans="1:14" ht="15.75" customHeight="1">
      <c r="A84" s="58" t="s">
        <v>77</v>
      </c>
      <c r="B84" s="31" t="s">
        <v>98</v>
      </c>
      <c r="C84" s="35" t="s">
        <v>78</v>
      </c>
      <c r="D84" s="36" t="s">
        <v>69</v>
      </c>
      <c r="E84" s="38">
        <v>1350</v>
      </c>
      <c r="F84" s="37">
        <v>0</v>
      </c>
      <c r="G84" s="37">
        <v>0</v>
      </c>
      <c r="H84" s="37">
        <v>0</v>
      </c>
      <c r="I84" s="37">
        <v>0</v>
      </c>
      <c r="J84" s="37">
        <v>750</v>
      </c>
      <c r="K84" s="31">
        <v>0</v>
      </c>
      <c r="L84" s="68">
        <v>0</v>
      </c>
    </row>
    <row r="85" spans="1:14" ht="15.75" customHeight="1">
      <c r="A85" s="60" t="s">
        <v>77</v>
      </c>
      <c r="B85" s="33" t="s">
        <v>98</v>
      </c>
      <c r="C85" s="28" t="s">
        <v>79</v>
      </c>
      <c r="D85" s="29" t="s">
        <v>69</v>
      </c>
      <c r="E85" s="39">
        <v>1000</v>
      </c>
      <c r="F85" s="30">
        <v>0</v>
      </c>
      <c r="G85" s="30">
        <v>0</v>
      </c>
      <c r="H85" s="30">
        <v>0</v>
      </c>
      <c r="I85" s="30">
        <v>0</v>
      </c>
      <c r="J85" s="30">
        <v>1000</v>
      </c>
      <c r="K85" s="27">
        <v>0</v>
      </c>
      <c r="L85" s="66">
        <v>0</v>
      </c>
    </row>
    <row r="86" spans="1:14" s="14" customFormat="1">
      <c r="A86" s="72" t="s">
        <v>100</v>
      </c>
      <c r="B86" s="42"/>
      <c r="C86" s="42"/>
      <c r="D86" s="43"/>
      <c r="E86" s="49"/>
      <c r="F86" s="44"/>
      <c r="G86" s="44"/>
      <c r="H86" s="44"/>
      <c r="I86" s="44"/>
      <c r="J86" s="44"/>
      <c r="K86" s="44"/>
      <c r="L86" s="73"/>
    </row>
    <row r="87" spans="1:14" ht="15.75" customHeight="1">
      <c r="A87" s="58" t="s">
        <v>77</v>
      </c>
      <c r="B87" s="34" t="s">
        <v>108</v>
      </c>
      <c r="C87" s="74" t="s">
        <v>101</v>
      </c>
      <c r="D87" s="36" t="s">
        <v>69</v>
      </c>
      <c r="E87" s="38">
        <f>1706*12</f>
        <v>20472</v>
      </c>
      <c r="F87" s="37">
        <v>0</v>
      </c>
      <c r="G87" s="37">
        <f>E87-L87</f>
        <v>17497</v>
      </c>
      <c r="H87" s="37">
        <v>0</v>
      </c>
      <c r="I87" s="37">
        <v>0</v>
      </c>
      <c r="J87" s="37">
        <v>0</v>
      </c>
      <c r="K87" s="37">
        <v>0</v>
      </c>
      <c r="L87" s="65">
        <v>2975</v>
      </c>
    </row>
    <row r="88" spans="1:14" ht="15.75" customHeight="1">
      <c r="A88" s="58" t="s">
        <v>77</v>
      </c>
      <c r="B88" s="34" t="s">
        <v>108</v>
      </c>
      <c r="C88" s="35" t="s">
        <v>106</v>
      </c>
      <c r="D88" s="36" t="s">
        <v>69</v>
      </c>
      <c r="E88" s="38">
        <f>E87*15%</f>
        <v>3070.7999999999997</v>
      </c>
      <c r="F88" s="37">
        <v>0</v>
      </c>
      <c r="G88" s="32">
        <f>E88</f>
        <v>3070.7999999999997</v>
      </c>
      <c r="H88" s="37">
        <v>0</v>
      </c>
      <c r="I88" s="37">
        <v>0</v>
      </c>
      <c r="J88" s="37">
        <v>0</v>
      </c>
      <c r="K88" s="37">
        <v>0</v>
      </c>
      <c r="L88" s="65">
        <f>IF(L$6="WL5",K:K*'Grants Rates'!I$5,)</f>
        <v>0</v>
      </c>
    </row>
    <row r="89" spans="1:14" ht="15.75" customHeight="1">
      <c r="A89" s="58" t="s">
        <v>77</v>
      </c>
      <c r="B89" s="34" t="s">
        <v>108</v>
      </c>
      <c r="C89" s="35" t="s">
        <v>103</v>
      </c>
      <c r="D89" s="36" t="s">
        <v>69</v>
      </c>
      <c r="E89" s="38">
        <f>E87/12</f>
        <v>1706</v>
      </c>
      <c r="F89" s="37">
        <v>0</v>
      </c>
      <c r="G89" s="32">
        <f>E89</f>
        <v>1706</v>
      </c>
      <c r="H89" s="37">
        <v>0</v>
      </c>
      <c r="I89" s="37">
        <v>0</v>
      </c>
      <c r="J89" s="37">
        <v>0</v>
      </c>
      <c r="K89" s="37">
        <v>0</v>
      </c>
      <c r="L89" s="65">
        <f>IF(L$6="WL5",K:K*'Grants Rates'!I$5,)</f>
        <v>0</v>
      </c>
    </row>
    <row r="90" spans="1:14" ht="15.75" customHeight="1">
      <c r="A90" s="58" t="s">
        <v>77</v>
      </c>
      <c r="B90" s="34" t="s">
        <v>108</v>
      </c>
      <c r="C90" s="35" t="s">
        <v>107</v>
      </c>
      <c r="D90" s="36" t="s">
        <v>69</v>
      </c>
      <c r="E90" s="38">
        <v>150</v>
      </c>
      <c r="F90" s="37">
        <v>0</v>
      </c>
      <c r="G90" s="32">
        <f>E90</f>
        <v>150</v>
      </c>
      <c r="H90" s="37">
        <v>0</v>
      </c>
      <c r="I90" s="37">
        <v>0</v>
      </c>
      <c r="J90" s="37">
        <v>0</v>
      </c>
      <c r="K90" s="37">
        <v>0</v>
      </c>
      <c r="L90" s="65">
        <f>IF(L$6="WL5",K:K*'Grants Rates'!I$5,)</f>
        <v>0</v>
      </c>
    </row>
    <row r="91" spans="1:14" ht="15.75" customHeight="1">
      <c r="A91" s="60" t="s">
        <v>77</v>
      </c>
      <c r="B91" s="27" t="s">
        <v>108</v>
      </c>
      <c r="C91" s="28" t="s">
        <v>102</v>
      </c>
      <c r="D91" s="29" t="s">
        <v>69</v>
      </c>
      <c r="E91" s="39">
        <f>E87/12</f>
        <v>1706</v>
      </c>
      <c r="F91" s="30">
        <v>0</v>
      </c>
      <c r="G91" s="45">
        <f>E91</f>
        <v>1706</v>
      </c>
      <c r="H91" s="30">
        <v>0</v>
      </c>
      <c r="I91" s="30">
        <v>0</v>
      </c>
      <c r="J91" s="30">
        <v>0</v>
      </c>
      <c r="K91" s="30">
        <v>0</v>
      </c>
      <c r="L91" s="75">
        <f>IF(L$6="WL5",K:K*'Grants Rates'!I$5,)</f>
        <v>0</v>
      </c>
    </row>
    <row r="92" spans="1:14" ht="15.75" customHeight="1">
      <c r="A92" s="58" t="s">
        <v>77</v>
      </c>
      <c r="B92" s="31" t="s">
        <v>104</v>
      </c>
      <c r="C92" s="35" t="s">
        <v>105</v>
      </c>
      <c r="D92" s="36" t="s">
        <v>69</v>
      </c>
      <c r="E92" s="38">
        <f>1614*12</f>
        <v>19368</v>
      </c>
      <c r="F92" s="37">
        <v>0</v>
      </c>
      <c r="G92" s="37">
        <v>0</v>
      </c>
      <c r="H92" s="37">
        <f>(E92-L92)/2</f>
        <v>8484</v>
      </c>
      <c r="I92" s="37">
        <v>0</v>
      </c>
      <c r="J92" s="37">
        <v>8484</v>
      </c>
      <c r="K92" s="31">
        <v>0</v>
      </c>
      <c r="L92" s="68">
        <f>300*8</f>
        <v>2400</v>
      </c>
    </row>
    <row r="93" spans="1:14" ht="15.75" customHeight="1">
      <c r="A93" s="58" t="s">
        <v>77</v>
      </c>
      <c r="B93" s="31" t="s">
        <v>104</v>
      </c>
      <c r="C93" s="35" t="s">
        <v>106</v>
      </c>
      <c r="D93" s="36" t="s">
        <v>69</v>
      </c>
      <c r="E93" s="38">
        <f>E92*15%</f>
        <v>2905.2</v>
      </c>
      <c r="F93" s="37">
        <v>0</v>
      </c>
      <c r="G93" s="37">
        <v>0</v>
      </c>
      <c r="H93" s="37">
        <f>E93/2</f>
        <v>1452.6</v>
      </c>
      <c r="I93" s="37">
        <v>0</v>
      </c>
      <c r="J93" s="37">
        <f>E93/2</f>
        <v>1452.6</v>
      </c>
      <c r="K93" s="32">
        <v>0</v>
      </c>
      <c r="L93" s="59">
        <v>0</v>
      </c>
    </row>
    <row r="94" spans="1:14" ht="15.75" customHeight="1">
      <c r="A94" s="58" t="s">
        <v>77</v>
      </c>
      <c r="B94" s="31" t="s">
        <v>104</v>
      </c>
      <c r="C94" s="35" t="s">
        <v>103</v>
      </c>
      <c r="D94" s="36" t="s">
        <v>69</v>
      </c>
      <c r="E94" s="38">
        <f>E92/12</f>
        <v>1614</v>
      </c>
      <c r="F94" s="37">
        <v>0</v>
      </c>
      <c r="G94" s="37">
        <v>0</v>
      </c>
      <c r="H94" s="37">
        <f>E94/2</f>
        <v>807</v>
      </c>
      <c r="I94" s="37">
        <v>0</v>
      </c>
      <c r="J94" s="37">
        <v>807</v>
      </c>
      <c r="K94" s="31">
        <v>0</v>
      </c>
      <c r="L94" s="68">
        <v>0</v>
      </c>
    </row>
    <row r="95" spans="1:14" ht="15.75" customHeight="1">
      <c r="A95" s="58" t="s">
        <v>77</v>
      </c>
      <c r="B95" s="31" t="s">
        <v>104</v>
      </c>
      <c r="C95" s="35" t="s">
        <v>107</v>
      </c>
      <c r="D95" s="36" t="s">
        <v>69</v>
      </c>
      <c r="E95" s="38">
        <v>150</v>
      </c>
      <c r="F95" s="37">
        <v>0</v>
      </c>
      <c r="G95" s="37">
        <v>0</v>
      </c>
      <c r="H95" s="37">
        <v>150</v>
      </c>
      <c r="I95" s="37">
        <v>0</v>
      </c>
      <c r="J95" s="37">
        <v>0</v>
      </c>
      <c r="K95" s="32">
        <v>0</v>
      </c>
      <c r="L95" s="59">
        <v>0</v>
      </c>
    </row>
    <row r="96" spans="1:14" ht="15.75" customHeight="1">
      <c r="A96" s="60" t="s">
        <v>77</v>
      </c>
      <c r="B96" s="33" t="s">
        <v>104</v>
      </c>
      <c r="C96" s="28" t="s">
        <v>102</v>
      </c>
      <c r="D96" s="29" t="s">
        <v>69</v>
      </c>
      <c r="E96" s="39">
        <f>E92/12</f>
        <v>1614</v>
      </c>
      <c r="F96" s="30">
        <v>0</v>
      </c>
      <c r="G96" s="30">
        <v>0</v>
      </c>
      <c r="H96" s="30">
        <f>E96/2</f>
        <v>807</v>
      </c>
      <c r="I96" s="30">
        <v>0</v>
      </c>
      <c r="J96" s="30">
        <v>807</v>
      </c>
      <c r="K96" s="33">
        <v>0</v>
      </c>
      <c r="L96" s="76">
        <v>0</v>
      </c>
    </row>
    <row r="97" spans="1:12" ht="15.75" customHeight="1">
      <c r="A97" s="58" t="s">
        <v>77</v>
      </c>
      <c r="B97" s="31" t="s">
        <v>110</v>
      </c>
      <c r="C97" s="35" t="s">
        <v>111</v>
      </c>
      <c r="D97" s="36" t="s">
        <v>69</v>
      </c>
      <c r="E97" s="38">
        <v>19356</v>
      </c>
      <c r="F97" s="37">
        <v>0</v>
      </c>
      <c r="G97" s="37">
        <v>0</v>
      </c>
      <c r="H97" s="37">
        <v>9678</v>
      </c>
      <c r="I97" s="37">
        <v>0</v>
      </c>
      <c r="J97" s="37">
        <v>9678</v>
      </c>
      <c r="K97" s="31">
        <v>0</v>
      </c>
      <c r="L97" s="68">
        <v>0</v>
      </c>
    </row>
    <row r="98" spans="1:12" ht="15.75" customHeight="1">
      <c r="A98" s="58" t="s">
        <v>77</v>
      </c>
      <c r="B98" s="31" t="s">
        <v>110</v>
      </c>
      <c r="C98" s="35" t="s">
        <v>106</v>
      </c>
      <c r="D98" s="36" t="s">
        <v>69</v>
      </c>
      <c r="E98" s="38">
        <f>E97*15%</f>
        <v>2903.4</v>
      </c>
      <c r="F98" s="37">
        <v>0</v>
      </c>
      <c r="G98" s="37">
        <v>0</v>
      </c>
      <c r="H98" s="37">
        <f>E98/2</f>
        <v>1451.7</v>
      </c>
      <c r="I98" s="37">
        <v>0</v>
      </c>
      <c r="J98" s="37">
        <f>E98/2</f>
        <v>1451.7</v>
      </c>
      <c r="K98" s="32">
        <v>0</v>
      </c>
      <c r="L98" s="59">
        <v>0</v>
      </c>
    </row>
    <row r="99" spans="1:12" ht="15.75" customHeight="1">
      <c r="A99" s="58" t="s">
        <v>77</v>
      </c>
      <c r="B99" s="31" t="s">
        <v>110</v>
      </c>
      <c r="C99" s="35" t="s">
        <v>103</v>
      </c>
      <c r="D99" s="36" t="s">
        <v>69</v>
      </c>
      <c r="E99" s="38">
        <f>E97/12</f>
        <v>1613</v>
      </c>
      <c r="F99" s="37">
        <v>0</v>
      </c>
      <c r="G99" s="37">
        <v>0</v>
      </c>
      <c r="H99" s="37">
        <f>E99/2</f>
        <v>806.5</v>
      </c>
      <c r="I99" s="37">
        <v>0</v>
      </c>
      <c r="J99" s="37">
        <v>807</v>
      </c>
      <c r="K99" s="31">
        <v>0</v>
      </c>
      <c r="L99" s="68">
        <v>0</v>
      </c>
    </row>
    <row r="100" spans="1:12" ht="15.75" customHeight="1">
      <c r="A100" s="58" t="s">
        <v>77</v>
      </c>
      <c r="B100" s="31" t="s">
        <v>110</v>
      </c>
      <c r="C100" s="35" t="s">
        <v>107</v>
      </c>
      <c r="D100" s="36" t="s">
        <v>69</v>
      </c>
      <c r="E100" s="38">
        <v>150</v>
      </c>
      <c r="F100" s="37">
        <v>0</v>
      </c>
      <c r="G100" s="37">
        <v>0</v>
      </c>
      <c r="H100" s="37">
        <v>150</v>
      </c>
      <c r="I100" s="37">
        <v>0</v>
      </c>
      <c r="J100" s="37">
        <v>0</v>
      </c>
      <c r="K100" s="32">
        <v>0</v>
      </c>
      <c r="L100" s="59">
        <v>0</v>
      </c>
    </row>
    <row r="101" spans="1:12" ht="15.75" customHeight="1">
      <c r="A101" s="60" t="s">
        <v>77</v>
      </c>
      <c r="B101" s="33" t="s">
        <v>110</v>
      </c>
      <c r="C101" s="28" t="s">
        <v>102</v>
      </c>
      <c r="D101" s="29" t="s">
        <v>69</v>
      </c>
      <c r="E101" s="39">
        <f>E97/12</f>
        <v>1613</v>
      </c>
      <c r="F101" s="30">
        <v>0</v>
      </c>
      <c r="G101" s="30">
        <v>0</v>
      </c>
      <c r="H101" s="30">
        <f>E101/2</f>
        <v>806.5</v>
      </c>
      <c r="I101" s="30">
        <v>0</v>
      </c>
      <c r="J101" s="30">
        <v>807</v>
      </c>
      <c r="K101" s="33">
        <v>0</v>
      </c>
      <c r="L101" s="76">
        <v>0</v>
      </c>
    </row>
    <row r="102" spans="1:12" ht="15.75" customHeight="1">
      <c r="A102" s="58" t="s">
        <v>77</v>
      </c>
      <c r="B102" s="31" t="s">
        <v>115</v>
      </c>
      <c r="C102" s="35" t="s">
        <v>112</v>
      </c>
      <c r="D102" s="36" t="s">
        <v>69</v>
      </c>
      <c r="E102" s="38">
        <f>1792*12</f>
        <v>21504</v>
      </c>
      <c r="F102" s="37">
        <f>IF(F$6="WL5",E:E*'Grants Rates'!C$5,)</f>
        <v>2795.99022963682</v>
      </c>
      <c r="G102" s="37">
        <f>IF(G$6="WL6",E:E*'Grants Rates'!C$6,)</f>
        <v>2516.3912066731382</v>
      </c>
      <c r="H102" s="37">
        <f>IF(H$6="WL7",E:E*'Grants Rates'!C$7,)</f>
        <v>3355.1882755641846</v>
      </c>
      <c r="I102" s="37">
        <f>IF(I$6="PSI",E:E*'Grants Rates'!C$8,)</f>
        <v>1957.1931607457743</v>
      </c>
      <c r="J102" s="37">
        <f>IF(J$6="EF",E:E*'Grants Rates'!C$9,)</f>
        <v>10879.237127380082</v>
      </c>
      <c r="K102" s="31">
        <v>0</v>
      </c>
      <c r="L102" s="68">
        <v>0</v>
      </c>
    </row>
    <row r="103" spans="1:12" ht="15.75" customHeight="1">
      <c r="A103" s="58" t="s">
        <v>77</v>
      </c>
      <c r="B103" s="31" t="s">
        <v>115</v>
      </c>
      <c r="C103" s="35" t="s">
        <v>106</v>
      </c>
      <c r="D103" s="36" t="s">
        <v>69</v>
      </c>
      <c r="E103" s="38">
        <f>E102*15%</f>
        <v>3225.6</v>
      </c>
      <c r="F103" s="37">
        <f>IF(F$6="WL5",E:E*'Grants Rates'!C$5,)</f>
        <v>419.39853444552301</v>
      </c>
      <c r="G103" s="37">
        <f>IF(G$6="WL6",E:E*'Grants Rates'!C$6,)</f>
        <v>377.45868100097073</v>
      </c>
      <c r="H103" s="37">
        <f>IF(H$6="WL7",E:E*'Grants Rates'!C$7,)</f>
        <v>503.27824133462764</v>
      </c>
      <c r="I103" s="37">
        <f>IF(I$6="PSI",E:E*'Grants Rates'!C$8,)</f>
        <v>293.57897411186616</v>
      </c>
      <c r="J103" s="37">
        <f>IF(J$6="EF",E:E*'Grants Rates'!C$9,)</f>
        <v>1631.8855691070123</v>
      </c>
      <c r="K103" s="32">
        <v>0</v>
      </c>
      <c r="L103" s="59">
        <v>0</v>
      </c>
    </row>
    <row r="104" spans="1:12" ht="15.75" customHeight="1">
      <c r="A104" s="58" t="s">
        <v>77</v>
      </c>
      <c r="B104" s="31" t="s">
        <v>115</v>
      </c>
      <c r="C104" s="35" t="s">
        <v>103</v>
      </c>
      <c r="D104" s="36" t="s">
        <v>69</v>
      </c>
      <c r="E104" s="38">
        <f>E102/12</f>
        <v>1792</v>
      </c>
      <c r="F104" s="37">
        <v>0</v>
      </c>
      <c r="G104" s="37">
        <v>0</v>
      </c>
      <c r="H104" s="37">
        <v>0</v>
      </c>
      <c r="I104" s="37">
        <f>E104/2</f>
        <v>896</v>
      </c>
      <c r="J104" s="37">
        <f>E104/2</f>
        <v>896</v>
      </c>
      <c r="K104" s="31">
        <v>0</v>
      </c>
      <c r="L104" s="68">
        <v>0</v>
      </c>
    </row>
    <row r="105" spans="1:12" ht="15.75" customHeight="1">
      <c r="A105" s="58" t="s">
        <v>77</v>
      </c>
      <c r="B105" s="31" t="s">
        <v>115</v>
      </c>
      <c r="C105" s="35" t="s">
        <v>107</v>
      </c>
      <c r="D105" s="36" t="s">
        <v>69</v>
      </c>
      <c r="E105" s="38">
        <v>150</v>
      </c>
      <c r="F105" s="37">
        <v>0</v>
      </c>
      <c r="G105" s="37">
        <v>0</v>
      </c>
      <c r="H105" s="37">
        <v>0</v>
      </c>
      <c r="I105" s="37">
        <v>150</v>
      </c>
      <c r="J105" s="37">
        <v>0</v>
      </c>
      <c r="K105" s="32">
        <v>0</v>
      </c>
      <c r="L105" s="59">
        <v>0</v>
      </c>
    </row>
    <row r="106" spans="1:12" ht="15.75" customHeight="1">
      <c r="A106" s="60" t="s">
        <v>77</v>
      </c>
      <c r="B106" s="33" t="s">
        <v>115</v>
      </c>
      <c r="C106" s="28" t="s">
        <v>102</v>
      </c>
      <c r="D106" s="29" t="s">
        <v>69</v>
      </c>
      <c r="E106" s="39">
        <f>E102/12</f>
        <v>1792</v>
      </c>
      <c r="F106" s="30">
        <f>E106</f>
        <v>1792</v>
      </c>
      <c r="G106" s="30">
        <v>0</v>
      </c>
      <c r="H106" s="30">
        <v>0</v>
      </c>
      <c r="I106" s="30">
        <v>0</v>
      </c>
      <c r="J106" s="30">
        <v>0</v>
      </c>
      <c r="K106" s="33">
        <v>0</v>
      </c>
      <c r="L106" s="76">
        <v>0</v>
      </c>
    </row>
    <row r="107" spans="1:12" ht="15.75" customHeight="1">
      <c r="A107" s="58" t="s">
        <v>77</v>
      </c>
      <c r="B107" s="31" t="s">
        <v>116</v>
      </c>
      <c r="C107" s="35" t="s">
        <v>120</v>
      </c>
      <c r="D107" s="36" t="s">
        <v>69</v>
      </c>
      <c r="E107" s="38">
        <f>1742*12</f>
        <v>20904</v>
      </c>
      <c r="F107" s="37">
        <f>IF(F$6="WL5",E:E*'Grants Rates'!C$5,)</f>
        <v>2717.9771093902573</v>
      </c>
      <c r="G107" s="37">
        <f>IF(G$6="WL6",E:E*'Grants Rates'!C$6,)</f>
        <v>2446.1793984512315</v>
      </c>
      <c r="H107" s="37">
        <f>IF(H$6="WL7",E:E*'Grants Rates'!C$7,)</f>
        <v>3261.5725312683089</v>
      </c>
      <c r="I107" s="37">
        <f>IF(I$6="PSI",E:E*'Grants Rates'!C$8,)</f>
        <v>1902.5839765731803</v>
      </c>
      <c r="J107" s="37">
        <f>IF(J$6="EF",E:E*'Grants Rates'!C$9,)</f>
        <v>10575.686984317023</v>
      </c>
      <c r="K107" s="31">
        <v>0</v>
      </c>
      <c r="L107" s="68">
        <v>0</v>
      </c>
    </row>
    <row r="108" spans="1:12" ht="15.75" customHeight="1">
      <c r="A108" s="58" t="s">
        <v>77</v>
      </c>
      <c r="B108" s="31" t="s">
        <v>116</v>
      </c>
      <c r="C108" s="35" t="s">
        <v>106</v>
      </c>
      <c r="D108" s="36" t="s">
        <v>69</v>
      </c>
      <c r="E108" s="38">
        <f>E107*15%</f>
        <v>3135.6</v>
      </c>
      <c r="F108" s="37">
        <f>IF(F$6="WL5",E:E*'Grants Rates'!C$5,)</f>
        <v>407.69656640853856</v>
      </c>
      <c r="G108" s="37">
        <f>IF(G$6="WL6",E:E*'Grants Rates'!C$6,)</f>
        <v>366.92690976768472</v>
      </c>
      <c r="H108" s="37">
        <f>IF(H$6="WL7",E:E*'Grants Rates'!C$7,)</f>
        <v>489.23587969024629</v>
      </c>
      <c r="I108" s="37">
        <f>IF(I$6="PSI",E:E*'Grants Rates'!C$8,)</f>
        <v>285.38759648597704</v>
      </c>
      <c r="J108" s="37">
        <f>IF(J$6="EF",E:E*'Grants Rates'!C$9,)</f>
        <v>1586.3530476475532</v>
      </c>
      <c r="K108" s="32">
        <v>0</v>
      </c>
      <c r="L108" s="59">
        <v>0</v>
      </c>
    </row>
    <row r="109" spans="1:12" ht="15.75" customHeight="1">
      <c r="A109" s="58" t="s">
        <v>77</v>
      </c>
      <c r="B109" s="31" t="s">
        <v>116</v>
      </c>
      <c r="C109" s="35" t="s">
        <v>103</v>
      </c>
      <c r="D109" s="36" t="s">
        <v>69</v>
      </c>
      <c r="E109" s="38">
        <f>E107/12</f>
        <v>1742</v>
      </c>
      <c r="F109" s="37">
        <v>871</v>
      </c>
      <c r="G109" s="37">
        <v>0</v>
      </c>
      <c r="H109" s="37">
        <v>0</v>
      </c>
      <c r="I109" s="37">
        <v>0</v>
      </c>
      <c r="J109" s="37">
        <f>E109/2</f>
        <v>871</v>
      </c>
      <c r="K109" s="31">
        <v>0</v>
      </c>
      <c r="L109" s="68">
        <v>0</v>
      </c>
    </row>
    <row r="110" spans="1:12" ht="15.75" customHeight="1">
      <c r="A110" s="58" t="s">
        <v>77</v>
      </c>
      <c r="B110" s="31" t="s">
        <v>116</v>
      </c>
      <c r="C110" s="35" t="s">
        <v>107</v>
      </c>
      <c r="D110" s="36" t="s">
        <v>69</v>
      </c>
      <c r="E110" s="38">
        <v>150</v>
      </c>
      <c r="F110" s="37">
        <v>0</v>
      </c>
      <c r="G110" s="37">
        <v>0</v>
      </c>
      <c r="H110" s="37">
        <v>0</v>
      </c>
      <c r="I110" s="37">
        <v>150</v>
      </c>
      <c r="J110" s="37">
        <v>0</v>
      </c>
      <c r="K110" s="32">
        <v>0</v>
      </c>
      <c r="L110" s="59">
        <v>0</v>
      </c>
    </row>
    <row r="111" spans="1:12" ht="15.75" customHeight="1">
      <c r="A111" s="60" t="s">
        <v>77</v>
      </c>
      <c r="B111" s="33" t="s">
        <v>116</v>
      </c>
      <c r="C111" s="28" t="s">
        <v>102</v>
      </c>
      <c r="D111" s="29" t="s">
        <v>69</v>
      </c>
      <c r="E111" s="39">
        <f>E107/12</f>
        <v>1742</v>
      </c>
      <c r="F111" s="30">
        <f>E111</f>
        <v>1742</v>
      </c>
      <c r="G111" s="30">
        <v>0</v>
      </c>
      <c r="H111" s="30">
        <v>0</v>
      </c>
      <c r="I111" s="30">
        <v>0</v>
      </c>
      <c r="J111" s="30">
        <v>0</v>
      </c>
      <c r="K111" s="33">
        <v>0</v>
      </c>
      <c r="L111" s="76">
        <v>0</v>
      </c>
    </row>
    <row r="112" spans="1:12" ht="15.75" customHeight="1">
      <c r="A112" s="58" t="s">
        <v>77</v>
      </c>
      <c r="B112" s="31" t="s">
        <v>212</v>
      </c>
      <c r="C112" s="35" t="s">
        <v>126</v>
      </c>
      <c r="D112" s="36" t="s">
        <v>69</v>
      </c>
      <c r="E112" s="38">
        <f>(322*12)*12</f>
        <v>46368</v>
      </c>
      <c r="F112" s="37">
        <f>E112/12*3</f>
        <v>11592</v>
      </c>
      <c r="G112" s="37">
        <v>0</v>
      </c>
      <c r="H112" s="37">
        <v>0</v>
      </c>
      <c r="I112" s="37">
        <f>E112/12*3</f>
        <v>11592</v>
      </c>
      <c r="J112" s="37">
        <f>E112/2</f>
        <v>23184</v>
      </c>
      <c r="K112" s="32">
        <v>0</v>
      </c>
      <c r="L112" s="59">
        <v>0</v>
      </c>
    </row>
    <row r="113" spans="1:12" ht="15.75" customHeight="1">
      <c r="A113" s="58" t="s">
        <v>77</v>
      </c>
      <c r="B113" s="104" t="s">
        <v>213</v>
      </c>
      <c r="C113" s="35" t="s">
        <v>122</v>
      </c>
      <c r="D113" s="36" t="s">
        <v>69</v>
      </c>
      <c r="E113" s="38">
        <f>E112*8%</f>
        <v>3709.44</v>
      </c>
      <c r="F113" s="37">
        <f>E113/12*3</f>
        <v>927.36</v>
      </c>
      <c r="G113" s="37">
        <v>0</v>
      </c>
      <c r="H113" s="37">
        <v>0</v>
      </c>
      <c r="I113" s="37">
        <f>E113/12*3</f>
        <v>927.36</v>
      </c>
      <c r="J113" s="37">
        <f>E113/2</f>
        <v>1854.72</v>
      </c>
      <c r="K113" s="31">
        <v>0</v>
      </c>
      <c r="L113" s="59">
        <v>0</v>
      </c>
    </row>
    <row r="114" spans="1:12" ht="15.75" customHeight="1">
      <c r="A114" s="58" t="s">
        <v>77</v>
      </c>
      <c r="B114" s="104"/>
      <c r="C114" s="35" t="s">
        <v>103</v>
      </c>
      <c r="D114" s="36" t="s">
        <v>69</v>
      </c>
      <c r="E114" s="38">
        <f>E112/12</f>
        <v>3864</v>
      </c>
      <c r="F114" s="37">
        <f>E114/12*3</f>
        <v>966</v>
      </c>
      <c r="G114" s="37">
        <v>0</v>
      </c>
      <c r="H114" s="37">
        <v>0</v>
      </c>
      <c r="I114" s="37">
        <f>E114/12*3</f>
        <v>966</v>
      </c>
      <c r="J114" s="37">
        <f>E114/2</f>
        <v>1932</v>
      </c>
      <c r="K114" s="32">
        <v>0</v>
      </c>
      <c r="L114" s="59">
        <v>0</v>
      </c>
    </row>
    <row r="115" spans="1:12" ht="15.75" customHeight="1">
      <c r="A115" s="58" t="s">
        <v>77</v>
      </c>
      <c r="B115" s="104"/>
      <c r="C115" s="35" t="s">
        <v>107</v>
      </c>
      <c r="D115" s="36" t="s">
        <v>69</v>
      </c>
      <c r="E115" s="38">
        <v>1000</v>
      </c>
      <c r="F115" s="37">
        <f>E115/12*3</f>
        <v>250</v>
      </c>
      <c r="G115" s="37">
        <v>0</v>
      </c>
      <c r="H115" s="37">
        <v>0</v>
      </c>
      <c r="I115" s="37">
        <f>E115/12*3</f>
        <v>250</v>
      </c>
      <c r="J115" s="37">
        <f>E115/2</f>
        <v>500</v>
      </c>
      <c r="K115" s="31">
        <v>0</v>
      </c>
      <c r="L115" s="59">
        <v>0</v>
      </c>
    </row>
    <row r="116" spans="1:12" ht="15.75" customHeight="1">
      <c r="A116" s="60" t="s">
        <v>77</v>
      </c>
      <c r="B116" s="105"/>
      <c r="C116" s="28" t="s">
        <v>102</v>
      </c>
      <c r="D116" s="29" t="s">
        <v>69</v>
      </c>
      <c r="E116" s="39">
        <f>E112/12</f>
        <v>3864</v>
      </c>
      <c r="F116" s="30">
        <f>E116/12*3</f>
        <v>966</v>
      </c>
      <c r="G116" s="30">
        <v>0</v>
      </c>
      <c r="H116" s="30">
        <v>0</v>
      </c>
      <c r="I116" s="30">
        <f>E116/12*3</f>
        <v>966</v>
      </c>
      <c r="J116" s="30">
        <f>E116/2</f>
        <v>1932</v>
      </c>
      <c r="K116" s="27">
        <v>0</v>
      </c>
      <c r="L116" s="66">
        <v>0</v>
      </c>
    </row>
    <row r="117" spans="1:12" ht="15.75" customHeight="1">
      <c r="A117" s="58" t="s">
        <v>77</v>
      </c>
      <c r="B117" s="31" t="s">
        <v>123</v>
      </c>
      <c r="C117" s="35" t="s">
        <v>125</v>
      </c>
      <c r="D117" s="36" t="s">
        <v>69</v>
      </c>
      <c r="E117" s="38">
        <f>(322*12)*3</f>
        <v>11592</v>
      </c>
      <c r="F117" s="37">
        <f>E117/3</f>
        <v>3864</v>
      </c>
      <c r="G117" s="37">
        <v>0</v>
      </c>
      <c r="H117" s="37">
        <v>0</v>
      </c>
      <c r="I117" s="37">
        <f>E117/3</f>
        <v>3864</v>
      </c>
      <c r="J117" s="37">
        <f>E117/3</f>
        <v>3864</v>
      </c>
      <c r="K117" s="32">
        <v>0</v>
      </c>
      <c r="L117" s="59">
        <v>0</v>
      </c>
    </row>
    <row r="118" spans="1:12" ht="15.75" customHeight="1">
      <c r="A118" s="58" t="s">
        <v>77</v>
      </c>
      <c r="B118" s="104" t="s">
        <v>124</v>
      </c>
      <c r="C118" s="35" t="s">
        <v>122</v>
      </c>
      <c r="D118" s="36" t="s">
        <v>69</v>
      </c>
      <c r="E118" s="38">
        <f>E117*8%</f>
        <v>927.36</v>
      </c>
      <c r="F118" s="37">
        <f>E118/3</f>
        <v>309.12</v>
      </c>
      <c r="G118" s="37">
        <v>0</v>
      </c>
      <c r="H118" s="37">
        <v>0</v>
      </c>
      <c r="I118" s="37">
        <f>E118/3</f>
        <v>309.12</v>
      </c>
      <c r="J118" s="37">
        <f>E118/3</f>
        <v>309.12</v>
      </c>
      <c r="K118" s="31">
        <v>0</v>
      </c>
      <c r="L118" s="59">
        <v>0</v>
      </c>
    </row>
    <row r="119" spans="1:12" ht="15.75" customHeight="1">
      <c r="A119" s="58" t="s">
        <v>77</v>
      </c>
      <c r="B119" s="104"/>
      <c r="C119" s="35" t="s">
        <v>103</v>
      </c>
      <c r="D119" s="36" t="s">
        <v>69</v>
      </c>
      <c r="E119" s="38">
        <f>E117/12</f>
        <v>966</v>
      </c>
      <c r="F119" s="37">
        <f>E119/3</f>
        <v>322</v>
      </c>
      <c r="G119" s="37">
        <v>0</v>
      </c>
      <c r="H119" s="37">
        <v>0</v>
      </c>
      <c r="I119" s="37">
        <f>E119/3</f>
        <v>322</v>
      </c>
      <c r="J119" s="37">
        <f>E119/3</f>
        <v>322</v>
      </c>
      <c r="K119" s="32">
        <v>0</v>
      </c>
      <c r="L119" s="59">
        <v>0</v>
      </c>
    </row>
    <row r="120" spans="1:12" ht="15.75" customHeight="1">
      <c r="A120" s="58" t="s">
        <v>77</v>
      </c>
      <c r="B120" s="104"/>
      <c r="C120" s="35" t="s">
        <v>107</v>
      </c>
      <c r="D120" s="36" t="s">
        <v>69</v>
      </c>
      <c r="E120" s="38">
        <v>300</v>
      </c>
      <c r="F120" s="37">
        <f>E120/3</f>
        <v>100</v>
      </c>
      <c r="G120" s="37">
        <v>0</v>
      </c>
      <c r="H120" s="37">
        <v>0</v>
      </c>
      <c r="I120" s="37">
        <f>E120/3</f>
        <v>100</v>
      </c>
      <c r="J120" s="37">
        <f>E120/3</f>
        <v>100</v>
      </c>
      <c r="K120" s="31">
        <v>0</v>
      </c>
      <c r="L120" s="59">
        <v>0</v>
      </c>
    </row>
    <row r="121" spans="1:12" ht="15.75" customHeight="1">
      <c r="A121" s="60" t="s">
        <v>77</v>
      </c>
      <c r="B121" s="105"/>
      <c r="C121" s="28" t="s">
        <v>102</v>
      </c>
      <c r="D121" s="29" t="s">
        <v>69</v>
      </c>
      <c r="E121" s="39">
        <f>E117/12</f>
        <v>966</v>
      </c>
      <c r="F121" s="30">
        <f>E121/3</f>
        <v>322</v>
      </c>
      <c r="G121" s="30">
        <v>0</v>
      </c>
      <c r="H121" s="30">
        <v>0</v>
      </c>
      <c r="I121" s="30">
        <f>E121/3</f>
        <v>322</v>
      </c>
      <c r="J121" s="30">
        <f>E121/3</f>
        <v>322</v>
      </c>
      <c r="K121" s="27">
        <v>0</v>
      </c>
      <c r="L121" s="66">
        <v>0</v>
      </c>
    </row>
    <row r="122" spans="1:12" ht="15.75" customHeight="1">
      <c r="A122" s="58" t="s">
        <v>77</v>
      </c>
      <c r="B122" s="31" t="s">
        <v>211</v>
      </c>
      <c r="C122" s="35" t="s">
        <v>127</v>
      </c>
      <c r="D122" s="36" t="s">
        <v>69</v>
      </c>
      <c r="E122" s="38">
        <f>(322*6)*12</f>
        <v>23184</v>
      </c>
      <c r="F122" s="37">
        <v>0</v>
      </c>
      <c r="G122" s="32">
        <f>(E122/6)*2</f>
        <v>7728</v>
      </c>
      <c r="H122" s="37">
        <v>0</v>
      </c>
      <c r="I122" s="37">
        <v>0</v>
      </c>
      <c r="J122" s="32">
        <f>(E122/6)*2</f>
        <v>7728</v>
      </c>
      <c r="K122" s="32">
        <v>0</v>
      </c>
      <c r="L122" s="59">
        <f>(E122/6)*2</f>
        <v>7728</v>
      </c>
    </row>
    <row r="123" spans="1:12" ht="15.75" customHeight="1">
      <c r="A123" s="58" t="s">
        <v>77</v>
      </c>
      <c r="B123" s="104" t="s">
        <v>214</v>
      </c>
      <c r="C123" s="35" t="s">
        <v>122</v>
      </c>
      <c r="D123" s="36" t="s">
        <v>69</v>
      </c>
      <c r="E123" s="38">
        <f>E122*8%</f>
        <v>1854.72</v>
      </c>
      <c r="F123" s="37">
        <v>0</v>
      </c>
      <c r="G123" s="32">
        <f t="shared" ref="G123:G125" si="3">(E123/6)*2</f>
        <v>618.24</v>
      </c>
      <c r="H123" s="37">
        <v>0</v>
      </c>
      <c r="I123" s="37">
        <v>0</v>
      </c>
      <c r="J123" s="32">
        <f t="shared" ref="J123:J125" si="4">(E123/6)*2</f>
        <v>618.24</v>
      </c>
      <c r="K123" s="32">
        <v>0</v>
      </c>
      <c r="L123" s="59">
        <f t="shared" ref="L123:L125" si="5">(E123/6)*2</f>
        <v>618.24</v>
      </c>
    </row>
    <row r="124" spans="1:12" ht="15.75" customHeight="1">
      <c r="A124" s="58" t="s">
        <v>77</v>
      </c>
      <c r="B124" s="104"/>
      <c r="C124" s="35" t="s">
        <v>103</v>
      </c>
      <c r="D124" s="36" t="s">
        <v>69</v>
      </c>
      <c r="E124" s="38">
        <f>E122/12</f>
        <v>1932</v>
      </c>
      <c r="F124" s="37">
        <v>0</v>
      </c>
      <c r="G124" s="32">
        <f t="shared" si="3"/>
        <v>644</v>
      </c>
      <c r="H124" s="37">
        <v>0</v>
      </c>
      <c r="I124" s="37">
        <v>0</v>
      </c>
      <c r="J124" s="32">
        <f t="shared" si="4"/>
        <v>644</v>
      </c>
      <c r="K124" s="32">
        <v>0</v>
      </c>
      <c r="L124" s="59">
        <f t="shared" si="5"/>
        <v>644</v>
      </c>
    </row>
    <row r="125" spans="1:12" ht="15.75" customHeight="1">
      <c r="A125" s="58" t="s">
        <v>77</v>
      </c>
      <c r="B125" s="104"/>
      <c r="C125" s="35" t="s">
        <v>107</v>
      </c>
      <c r="D125" s="36" t="s">
        <v>69</v>
      </c>
      <c r="E125" s="38">
        <v>600</v>
      </c>
      <c r="F125" s="37">
        <v>0</v>
      </c>
      <c r="G125" s="32">
        <f t="shared" si="3"/>
        <v>200</v>
      </c>
      <c r="H125" s="37">
        <v>0</v>
      </c>
      <c r="I125" s="37">
        <v>0</v>
      </c>
      <c r="J125" s="32">
        <f t="shared" si="4"/>
        <v>200</v>
      </c>
      <c r="K125" s="32">
        <v>0</v>
      </c>
      <c r="L125" s="59">
        <f t="shared" si="5"/>
        <v>200</v>
      </c>
    </row>
    <row r="126" spans="1:12" ht="15.75" customHeight="1">
      <c r="A126" s="60" t="s">
        <v>77</v>
      </c>
      <c r="B126" s="105"/>
      <c r="C126" s="28" t="s">
        <v>102</v>
      </c>
      <c r="D126" s="29" t="s">
        <v>69</v>
      </c>
      <c r="E126" s="39">
        <f>E122/12</f>
        <v>1932</v>
      </c>
      <c r="F126" s="30">
        <v>0</v>
      </c>
      <c r="G126" s="45">
        <f t="shared" ref="G126" si="6">(E126/6)*2</f>
        <v>644</v>
      </c>
      <c r="H126" s="30">
        <v>0</v>
      </c>
      <c r="I126" s="30">
        <v>0</v>
      </c>
      <c r="J126" s="45">
        <f t="shared" ref="J126" si="7">(E126/6)*2</f>
        <v>644</v>
      </c>
      <c r="K126" s="45">
        <v>0</v>
      </c>
      <c r="L126" s="61">
        <f t="shared" ref="L126" si="8">(E126/6)*2</f>
        <v>644</v>
      </c>
    </row>
    <row r="127" spans="1:12" ht="15.75" customHeight="1">
      <c r="A127" s="58" t="s">
        <v>77</v>
      </c>
      <c r="B127" s="31" t="s">
        <v>128</v>
      </c>
      <c r="C127" s="35" t="s">
        <v>129</v>
      </c>
      <c r="D127" s="36" t="s">
        <v>69</v>
      </c>
      <c r="E127" s="38">
        <f>(322*12)</f>
        <v>3864</v>
      </c>
      <c r="F127" s="37">
        <v>0</v>
      </c>
      <c r="G127" s="37">
        <v>0</v>
      </c>
      <c r="H127" s="37">
        <v>0</v>
      </c>
      <c r="I127" s="37">
        <v>0</v>
      </c>
      <c r="J127" s="37">
        <f>E127</f>
        <v>3864</v>
      </c>
      <c r="K127" s="32">
        <v>0</v>
      </c>
      <c r="L127" s="59">
        <v>0</v>
      </c>
    </row>
    <row r="128" spans="1:12" ht="15.75" customHeight="1">
      <c r="A128" s="58" t="s">
        <v>77</v>
      </c>
      <c r="B128" s="104" t="s">
        <v>130</v>
      </c>
      <c r="C128" s="35" t="s">
        <v>122</v>
      </c>
      <c r="D128" s="36" t="s">
        <v>69</v>
      </c>
      <c r="E128" s="38">
        <f>E127*8%</f>
        <v>309.12</v>
      </c>
      <c r="F128" s="37">
        <v>0</v>
      </c>
      <c r="G128" s="37">
        <v>0</v>
      </c>
      <c r="H128" s="37">
        <v>0</v>
      </c>
      <c r="I128" s="37">
        <v>0</v>
      </c>
      <c r="J128" s="37">
        <f>E128</f>
        <v>309.12</v>
      </c>
      <c r="K128" s="31">
        <v>0</v>
      </c>
      <c r="L128" s="59">
        <v>0</v>
      </c>
    </row>
    <row r="129" spans="1:12" ht="15.75" customHeight="1">
      <c r="A129" s="58" t="s">
        <v>77</v>
      </c>
      <c r="B129" s="104"/>
      <c r="C129" s="35" t="s">
        <v>103</v>
      </c>
      <c r="D129" s="36" t="s">
        <v>69</v>
      </c>
      <c r="E129" s="38">
        <f>E127/12</f>
        <v>322</v>
      </c>
      <c r="F129" s="37">
        <v>0</v>
      </c>
      <c r="G129" s="37">
        <v>0</v>
      </c>
      <c r="H129" s="37">
        <v>0</v>
      </c>
      <c r="I129" s="37">
        <v>0</v>
      </c>
      <c r="J129" s="37">
        <f>E129</f>
        <v>322</v>
      </c>
      <c r="K129" s="32">
        <v>0</v>
      </c>
      <c r="L129" s="59">
        <v>0</v>
      </c>
    </row>
    <row r="130" spans="1:12" ht="15.75" customHeight="1">
      <c r="A130" s="58" t="s">
        <v>77</v>
      </c>
      <c r="B130" s="104"/>
      <c r="C130" s="35" t="s">
        <v>107</v>
      </c>
      <c r="D130" s="36" t="s">
        <v>69</v>
      </c>
      <c r="E130" s="38">
        <v>100</v>
      </c>
      <c r="F130" s="37">
        <v>0</v>
      </c>
      <c r="G130" s="37">
        <v>0</v>
      </c>
      <c r="H130" s="37">
        <v>0</v>
      </c>
      <c r="I130" s="37">
        <v>0</v>
      </c>
      <c r="J130" s="37">
        <f>E130</f>
        <v>100</v>
      </c>
      <c r="K130" s="31">
        <v>0</v>
      </c>
      <c r="L130" s="59">
        <v>0</v>
      </c>
    </row>
    <row r="131" spans="1:12" ht="15.75" customHeight="1">
      <c r="A131" s="58" t="s">
        <v>77</v>
      </c>
      <c r="B131" s="104"/>
      <c r="C131" s="35" t="s">
        <v>102</v>
      </c>
      <c r="D131" s="36" t="s">
        <v>69</v>
      </c>
      <c r="E131" s="38">
        <f>E127/12</f>
        <v>322</v>
      </c>
      <c r="F131" s="37">
        <v>0</v>
      </c>
      <c r="G131" s="37">
        <v>0</v>
      </c>
      <c r="H131" s="37">
        <v>0</v>
      </c>
      <c r="I131" s="37">
        <v>0</v>
      </c>
      <c r="J131" s="37">
        <f>E131</f>
        <v>322</v>
      </c>
      <c r="K131" s="34">
        <v>0</v>
      </c>
      <c r="L131" s="67">
        <v>0</v>
      </c>
    </row>
    <row r="132" spans="1:12" ht="15.75" customHeight="1">
      <c r="A132" s="51" t="s">
        <v>77</v>
      </c>
      <c r="B132" s="52" t="s">
        <v>215</v>
      </c>
      <c r="C132" s="53" t="s">
        <v>127</v>
      </c>
      <c r="D132" s="54" t="s">
        <v>69</v>
      </c>
      <c r="E132" s="47">
        <f>(322*6)*12</f>
        <v>23184</v>
      </c>
      <c r="F132" s="55">
        <v>0</v>
      </c>
      <c r="G132" s="56">
        <v>0</v>
      </c>
      <c r="H132" s="56">
        <f>(E132/6)*2</f>
        <v>7728</v>
      </c>
      <c r="I132" s="55">
        <v>0</v>
      </c>
      <c r="J132" s="56">
        <f>(E132/6)*2</f>
        <v>7728</v>
      </c>
      <c r="K132" s="56">
        <v>0</v>
      </c>
      <c r="L132" s="57">
        <f>(E132/6)*2</f>
        <v>7728</v>
      </c>
    </row>
    <row r="133" spans="1:12" ht="15.75" customHeight="1">
      <c r="A133" s="58" t="s">
        <v>77</v>
      </c>
      <c r="B133" s="104" t="s">
        <v>216</v>
      </c>
      <c r="C133" s="35" t="s">
        <v>122</v>
      </c>
      <c r="D133" s="36" t="s">
        <v>69</v>
      </c>
      <c r="E133" s="38">
        <f>E132*8%</f>
        <v>1854.72</v>
      </c>
      <c r="F133" s="37">
        <v>0</v>
      </c>
      <c r="G133" s="32">
        <v>0</v>
      </c>
      <c r="H133" s="32">
        <f t="shared" ref="H133:H136" si="9">(E133/6)*2</f>
        <v>618.24</v>
      </c>
      <c r="I133" s="37">
        <v>0</v>
      </c>
      <c r="J133" s="32">
        <f t="shared" ref="J133:J136" si="10">(E133/6)*2</f>
        <v>618.24</v>
      </c>
      <c r="K133" s="32">
        <v>0</v>
      </c>
      <c r="L133" s="59">
        <f t="shared" ref="L133:L136" si="11">(E133/6)*2</f>
        <v>618.24</v>
      </c>
    </row>
    <row r="134" spans="1:12" ht="15.75" customHeight="1">
      <c r="A134" s="58" t="s">
        <v>77</v>
      </c>
      <c r="B134" s="104"/>
      <c r="C134" s="35" t="s">
        <v>103</v>
      </c>
      <c r="D134" s="36" t="s">
        <v>69</v>
      </c>
      <c r="E134" s="38">
        <f>E132/12</f>
        <v>1932</v>
      </c>
      <c r="F134" s="37">
        <v>0</v>
      </c>
      <c r="G134" s="32">
        <v>0</v>
      </c>
      <c r="H134" s="32">
        <f t="shared" si="9"/>
        <v>644</v>
      </c>
      <c r="I134" s="37">
        <v>0</v>
      </c>
      <c r="J134" s="32">
        <f t="shared" si="10"/>
        <v>644</v>
      </c>
      <c r="K134" s="32">
        <v>0</v>
      </c>
      <c r="L134" s="59">
        <f t="shared" si="11"/>
        <v>644</v>
      </c>
    </row>
    <row r="135" spans="1:12" ht="15.75" customHeight="1">
      <c r="A135" s="58" t="s">
        <v>77</v>
      </c>
      <c r="B135" s="104"/>
      <c r="C135" s="35" t="s">
        <v>107</v>
      </c>
      <c r="D135" s="36" t="s">
        <v>69</v>
      </c>
      <c r="E135" s="38">
        <v>600</v>
      </c>
      <c r="F135" s="37">
        <v>0</v>
      </c>
      <c r="G135" s="32">
        <v>0</v>
      </c>
      <c r="H135" s="32">
        <f t="shared" si="9"/>
        <v>200</v>
      </c>
      <c r="I135" s="37">
        <v>0</v>
      </c>
      <c r="J135" s="32">
        <f t="shared" si="10"/>
        <v>200</v>
      </c>
      <c r="K135" s="32">
        <v>0</v>
      </c>
      <c r="L135" s="59">
        <f t="shared" si="11"/>
        <v>200</v>
      </c>
    </row>
    <row r="136" spans="1:12" ht="15.75" customHeight="1">
      <c r="A136" s="60" t="s">
        <v>77</v>
      </c>
      <c r="B136" s="105"/>
      <c r="C136" s="28" t="s">
        <v>102</v>
      </c>
      <c r="D136" s="29" t="s">
        <v>69</v>
      </c>
      <c r="E136" s="39">
        <f>E132/12</f>
        <v>1932</v>
      </c>
      <c r="F136" s="30">
        <v>0</v>
      </c>
      <c r="G136" s="45">
        <v>0</v>
      </c>
      <c r="H136" s="45">
        <f t="shared" si="9"/>
        <v>644</v>
      </c>
      <c r="I136" s="30">
        <v>0</v>
      </c>
      <c r="J136" s="45">
        <f t="shared" si="10"/>
        <v>644</v>
      </c>
      <c r="K136" s="45">
        <v>0</v>
      </c>
      <c r="L136" s="61">
        <f t="shared" si="11"/>
        <v>644</v>
      </c>
    </row>
    <row r="137" spans="1:12" ht="15.75" customHeight="1">
      <c r="A137" s="58" t="s">
        <v>77</v>
      </c>
      <c r="B137" s="31" t="s">
        <v>131</v>
      </c>
      <c r="C137" s="35" t="s">
        <v>129</v>
      </c>
      <c r="D137" s="36" t="s">
        <v>69</v>
      </c>
      <c r="E137" s="38">
        <f>(322*12)</f>
        <v>3864</v>
      </c>
      <c r="F137" s="37">
        <v>0</v>
      </c>
      <c r="G137" s="37">
        <v>0</v>
      </c>
      <c r="H137" s="37">
        <f>E137</f>
        <v>3864</v>
      </c>
      <c r="I137" s="37">
        <v>0</v>
      </c>
      <c r="J137" s="37">
        <v>0</v>
      </c>
      <c r="K137" s="32">
        <v>0</v>
      </c>
      <c r="L137" s="59">
        <v>0</v>
      </c>
    </row>
    <row r="138" spans="1:12" ht="15.75" customHeight="1">
      <c r="A138" s="58" t="s">
        <v>77</v>
      </c>
      <c r="B138" s="104" t="s">
        <v>132</v>
      </c>
      <c r="C138" s="35" t="s">
        <v>122</v>
      </c>
      <c r="D138" s="36" t="s">
        <v>69</v>
      </c>
      <c r="E138" s="38">
        <f>E137*8%</f>
        <v>309.12</v>
      </c>
      <c r="F138" s="37">
        <v>0</v>
      </c>
      <c r="G138" s="37">
        <v>0</v>
      </c>
      <c r="H138" s="37">
        <f t="shared" ref="H138:H141" si="12">E138</f>
        <v>309.12</v>
      </c>
      <c r="I138" s="37">
        <v>0</v>
      </c>
      <c r="J138" s="37">
        <v>0</v>
      </c>
      <c r="K138" s="31">
        <v>0</v>
      </c>
      <c r="L138" s="59">
        <v>0</v>
      </c>
    </row>
    <row r="139" spans="1:12" ht="15.75" customHeight="1">
      <c r="A139" s="58" t="s">
        <v>77</v>
      </c>
      <c r="B139" s="104"/>
      <c r="C139" s="35" t="s">
        <v>103</v>
      </c>
      <c r="D139" s="36" t="s">
        <v>69</v>
      </c>
      <c r="E139" s="38">
        <f>E137/12</f>
        <v>322</v>
      </c>
      <c r="F139" s="37">
        <v>0</v>
      </c>
      <c r="G139" s="37">
        <v>0</v>
      </c>
      <c r="H139" s="37">
        <f t="shared" si="12"/>
        <v>322</v>
      </c>
      <c r="I139" s="37">
        <v>0</v>
      </c>
      <c r="J139" s="37">
        <v>0</v>
      </c>
      <c r="K139" s="32">
        <v>0</v>
      </c>
      <c r="L139" s="59">
        <v>0</v>
      </c>
    </row>
    <row r="140" spans="1:12" ht="15.75" customHeight="1">
      <c r="A140" s="58" t="s">
        <v>77</v>
      </c>
      <c r="B140" s="104"/>
      <c r="C140" s="35" t="s">
        <v>107</v>
      </c>
      <c r="D140" s="36" t="s">
        <v>69</v>
      </c>
      <c r="E140" s="38">
        <v>100</v>
      </c>
      <c r="F140" s="37">
        <v>0</v>
      </c>
      <c r="G140" s="37">
        <v>0</v>
      </c>
      <c r="H140" s="37">
        <f t="shared" si="12"/>
        <v>100</v>
      </c>
      <c r="I140" s="37">
        <v>0</v>
      </c>
      <c r="J140" s="37">
        <v>0</v>
      </c>
      <c r="K140" s="31">
        <v>0</v>
      </c>
      <c r="L140" s="59">
        <v>0</v>
      </c>
    </row>
    <row r="141" spans="1:12" ht="15.75" customHeight="1">
      <c r="A141" s="60" t="s">
        <v>77</v>
      </c>
      <c r="B141" s="105"/>
      <c r="C141" s="28" t="s">
        <v>102</v>
      </c>
      <c r="D141" s="29" t="s">
        <v>69</v>
      </c>
      <c r="E141" s="39">
        <f>E137/12</f>
        <v>322</v>
      </c>
      <c r="F141" s="30">
        <v>0</v>
      </c>
      <c r="G141" s="30">
        <v>0</v>
      </c>
      <c r="H141" s="30">
        <f t="shared" si="12"/>
        <v>322</v>
      </c>
      <c r="I141" s="30">
        <v>0</v>
      </c>
      <c r="J141" s="30">
        <v>0</v>
      </c>
      <c r="K141" s="27">
        <v>0</v>
      </c>
      <c r="L141" s="66">
        <v>0</v>
      </c>
    </row>
    <row r="142" spans="1:12" ht="15.75" customHeight="1">
      <c r="A142" s="34"/>
      <c r="B142" s="31"/>
      <c r="C142" s="35"/>
      <c r="D142" s="36"/>
      <c r="E142" s="37"/>
      <c r="F142" s="37"/>
      <c r="G142" s="37"/>
      <c r="H142" s="37"/>
      <c r="I142" s="37"/>
      <c r="J142" s="37"/>
      <c r="K142" s="34"/>
      <c r="L142" s="34"/>
    </row>
    <row r="143" spans="1:12" ht="15.75" customHeight="1">
      <c r="A143" s="34"/>
      <c r="B143" s="31"/>
      <c r="C143" s="35"/>
      <c r="D143" s="36"/>
      <c r="E143" s="37"/>
      <c r="F143" s="37"/>
      <c r="G143" s="37"/>
      <c r="H143" s="37"/>
      <c r="I143" s="37"/>
      <c r="J143" s="37"/>
      <c r="K143" s="34"/>
      <c r="L143" s="34"/>
    </row>
    <row r="144" spans="1:12" ht="15.75" customHeight="1">
      <c r="A144" s="34"/>
      <c r="B144" s="31"/>
      <c r="C144" s="35"/>
      <c r="D144" s="36"/>
      <c r="E144" s="37"/>
      <c r="F144" s="37"/>
      <c r="G144" s="37"/>
      <c r="H144" s="37"/>
      <c r="I144" s="37"/>
      <c r="J144" s="37"/>
      <c r="K144" s="34"/>
      <c r="L144" s="34"/>
    </row>
    <row r="145" spans="1:12" ht="15.75" customHeight="1">
      <c r="A145" s="34"/>
      <c r="B145" s="31"/>
      <c r="C145" s="35"/>
      <c r="D145" s="36"/>
      <c r="E145" s="37"/>
      <c r="F145" s="37"/>
      <c r="G145" s="37"/>
      <c r="H145" s="37"/>
      <c r="I145" s="37"/>
      <c r="J145" s="37"/>
      <c r="K145" s="34"/>
      <c r="L145" s="34"/>
    </row>
    <row r="146" spans="1:12" ht="15.75" customHeight="1">
      <c r="A146" s="34"/>
      <c r="B146" s="31"/>
      <c r="C146" s="35"/>
      <c r="D146" s="36"/>
      <c r="E146" s="37"/>
      <c r="F146" s="37"/>
      <c r="G146" s="37"/>
      <c r="H146" s="37"/>
      <c r="I146" s="37"/>
      <c r="J146" s="37"/>
      <c r="K146" s="34"/>
      <c r="L146" s="34"/>
    </row>
    <row r="147" spans="1:12" ht="15.75" customHeight="1">
      <c r="A147" s="34"/>
      <c r="B147" s="31"/>
      <c r="C147" s="35"/>
      <c r="D147" s="36"/>
      <c r="E147" s="37"/>
      <c r="F147" s="37"/>
      <c r="G147" s="37"/>
      <c r="H147" s="37"/>
      <c r="I147" s="37"/>
      <c r="J147" s="37"/>
      <c r="K147" s="34"/>
      <c r="L147" s="34"/>
    </row>
    <row r="148" spans="1:12" ht="15.75" customHeight="1">
      <c r="A148" s="34"/>
      <c r="B148" s="31"/>
      <c r="C148" s="35"/>
      <c r="D148" s="36"/>
      <c r="E148" s="37"/>
      <c r="F148" s="37"/>
      <c r="G148" s="37"/>
      <c r="H148" s="37"/>
      <c r="I148" s="37"/>
      <c r="J148" s="37"/>
      <c r="K148" s="34"/>
      <c r="L148" s="34"/>
    </row>
    <row r="149" spans="1:12" ht="15.75" customHeight="1">
      <c r="A149" s="34"/>
      <c r="B149" s="31"/>
      <c r="C149" s="35"/>
      <c r="D149" s="36"/>
      <c r="E149" s="37"/>
      <c r="F149" s="37"/>
      <c r="G149" s="37"/>
      <c r="H149" s="37"/>
      <c r="I149" s="37"/>
      <c r="J149" s="37"/>
      <c r="K149" s="34"/>
      <c r="L149" s="34"/>
    </row>
    <row r="150" spans="1:12" ht="15.75" customHeight="1">
      <c r="A150" s="34"/>
      <c r="B150" s="31"/>
      <c r="C150" s="35"/>
      <c r="D150" s="36"/>
      <c r="E150" s="37"/>
      <c r="F150" s="37"/>
      <c r="G150" s="37"/>
      <c r="H150" s="37"/>
      <c r="I150" s="37"/>
      <c r="J150" s="37"/>
      <c r="K150" s="34"/>
      <c r="L150" s="34"/>
    </row>
    <row r="151" spans="1:12" ht="15.75" customHeight="1">
      <c r="A151" s="34"/>
      <c r="B151" s="31"/>
      <c r="C151" s="35"/>
      <c r="D151" s="36"/>
      <c r="E151" s="37"/>
      <c r="F151" s="37"/>
      <c r="G151" s="37"/>
      <c r="H151" s="37"/>
      <c r="I151" s="37"/>
      <c r="J151" s="37"/>
      <c r="K151" s="34"/>
      <c r="L151" s="34"/>
    </row>
    <row r="152" spans="1:12" ht="15.75" customHeight="1">
      <c r="A152" s="34"/>
      <c r="B152" s="31"/>
      <c r="C152" s="35"/>
      <c r="D152" s="36"/>
      <c r="E152" s="37"/>
      <c r="F152" s="37"/>
      <c r="G152" s="37"/>
      <c r="H152" s="37"/>
      <c r="I152" s="37"/>
      <c r="J152" s="37"/>
      <c r="K152" s="34"/>
      <c r="L152" s="34"/>
    </row>
    <row r="153" spans="1:12" ht="15.75" customHeight="1">
      <c r="A153" s="34"/>
      <c r="B153" s="31"/>
      <c r="C153" s="35"/>
      <c r="D153" s="36"/>
      <c r="E153" s="37"/>
      <c r="F153" s="37"/>
      <c r="G153" s="37"/>
      <c r="H153" s="37"/>
      <c r="I153" s="37"/>
      <c r="J153" s="37"/>
      <c r="K153" s="34"/>
      <c r="L153" s="34"/>
    </row>
    <row r="154" spans="1:12" ht="15.75" customHeight="1">
      <c r="A154" s="34"/>
      <c r="B154" s="31"/>
      <c r="C154" s="35"/>
      <c r="D154" s="36"/>
      <c r="E154" s="37"/>
      <c r="F154" s="37"/>
      <c r="G154" s="37"/>
      <c r="H154" s="37"/>
      <c r="I154" s="37"/>
      <c r="J154" s="37"/>
      <c r="K154" s="34"/>
      <c r="L154" s="34"/>
    </row>
    <row r="155" spans="1:12" ht="15.75" customHeight="1">
      <c r="A155" s="34"/>
      <c r="B155" s="31"/>
      <c r="C155" s="35"/>
      <c r="D155" s="36"/>
      <c r="E155" s="37"/>
      <c r="F155" s="37"/>
      <c r="G155" s="37"/>
      <c r="H155" s="37"/>
      <c r="I155" s="37"/>
      <c r="J155" s="37"/>
      <c r="K155" s="34"/>
      <c r="L155" s="34"/>
    </row>
    <row r="156" spans="1:12" ht="15.75" customHeight="1">
      <c r="A156" s="34"/>
      <c r="B156" s="31"/>
      <c r="C156" s="35"/>
      <c r="D156" s="36"/>
      <c r="E156" s="37"/>
      <c r="F156" s="37"/>
      <c r="G156" s="37"/>
      <c r="H156" s="37"/>
      <c r="I156" s="37"/>
      <c r="J156" s="37"/>
      <c r="K156" s="34"/>
      <c r="L156" s="34"/>
    </row>
    <row r="157" spans="1:12" ht="15.75" customHeight="1">
      <c r="A157" s="34"/>
      <c r="B157" s="31"/>
      <c r="C157" s="35"/>
      <c r="D157" s="36"/>
      <c r="E157" s="37"/>
      <c r="F157" s="37"/>
      <c r="G157" s="37"/>
      <c r="H157" s="37"/>
      <c r="I157" s="37"/>
      <c r="J157" s="37"/>
      <c r="K157" s="34"/>
      <c r="L157" s="34"/>
    </row>
    <row r="158" spans="1:12" ht="15.75" customHeight="1">
      <c r="A158" s="34"/>
      <c r="B158" s="31"/>
      <c r="C158" s="35"/>
      <c r="D158" s="36"/>
      <c r="E158" s="37"/>
      <c r="F158" s="37"/>
      <c r="G158" s="37"/>
      <c r="H158" s="37"/>
      <c r="I158" s="37"/>
      <c r="J158" s="37"/>
      <c r="K158" s="34"/>
      <c r="L158" s="34"/>
    </row>
    <row r="159" spans="1:12" ht="15.75" customHeight="1">
      <c r="A159" s="34"/>
      <c r="B159" s="31"/>
      <c r="C159" s="35"/>
      <c r="D159" s="36"/>
      <c r="E159" s="37"/>
      <c r="F159" s="37"/>
      <c r="G159" s="37"/>
      <c r="H159" s="37"/>
      <c r="I159" s="37"/>
      <c r="J159" s="37"/>
      <c r="K159" s="34"/>
      <c r="L159" s="34"/>
    </row>
    <row r="160" spans="1:12" ht="15.75" customHeight="1">
      <c r="A160" s="34"/>
      <c r="B160" s="31"/>
      <c r="C160" s="35"/>
      <c r="D160" s="36"/>
      <c r="E160" s="37"/>
      <c r="F160" s="37"/>
      <c r="G160" s="37"/>
      <c r="H160" s="37"/>
      <c r="I160" s="37"/>
      <c r="J160" s="37"/>
      <c r="K160" s="34"/>
      <c r="L160" s="34"/>
    </row>
    <row r="161" spans="1:12" ht="15.75" customHeight="1">
      <c r="A161" s="34"/>
      <c r="B161" s="31"/>
      <c r="C161" s="35"/>
      <c r="D161" s="36"/>
      <c r="E161" s="37"/>
      <c r="F161" s="37"/>
      <c r="G161" s="37"/>
      <c r="H161" s="37"/>
      <c r="I161" s="37"/>
      <c r="J161" s="37"/>
      <c r="K161" s="34"/>
      <c r="L161" s="34"/>
    </row>
    <row r="162" spans="1:12" ht="15.75" customHeight="1">
      <c r="A162" s="34"/>
      <c r="B162" s="31"/>
      <c r="C162" s="35"/>
      <c r="D162" s="36"/>
      <c r="E162" s="37"/>
      <c r="F162" s="37"/>
      <c r="G162" s="37"/>
      <c r="H162" s="37"/>
      <c r="I162" s="37"/>
      <c r="J162" s="37"/>
      <c r="K162" s="34"/>
      <c r="L162" s="34"/>
    </row>
    <row r="163" spans="1:12" ht="15.75" customHeight="1">
      <c r="A163" s="34"/>
      <c r="B163" s="31"/>
      <c r="C163" s="35"/>
      <c r="D163" s="36"/>
      <c r="E163" s="37"/>
      <c r="F163" s="37"/>
      <c r="G163" s="37"/>
      <c r="H163" s="37"/>
      <c r="I163" s="37"/>
      <c r="J163" s="37"/>
      <c r="K163" s="34"/>
      <c r="L163" s="34"/>
    </row>
    <row r="164" spans="1:12" ht="15.75" customHeight="1">
      <c r="A164" s="34"/>
      <c r="B164" s="31"/>
      <c r="C164" s="35"/>
      <c r="D164" s="36"/>
      <c r="E164" s="37"/>
      <c r="F164" s="37"/>
      <c r="G164" s="37"/>
      <c r="H164" s="37"/>
      <c r="I164" s="37"/>
      <c r="J164" s="37"/>
      <c r="K164" s="34"/>
      <c r="L164" s="34"/>
    </row>
    <row r="165" spans="1:12" ht="15.75" customHeight="1">
      <c r="A165" s="34"/>
      <c r="B165" s="31"/>
      <c r="C165" s="35"/>
      <c r="D165" s="36"/>
      <c r="E165" s="37"/>
      <c r="F165" s="37"/>
      <c r="G165" s="37"/>
      <c r="H165" s="37"/>
      <c r="I165" s="37"/>
      <c r="J165" s="37"/>
      <c r="K165" s="34"/>
      <c r="L165" s="34"/>
    </row>
    <row r="166" spans="1:12" ht="15.75" customHeight="1">
      <c r="A166" s="34"/>
      <c r="B166" s="31"/>
      <c r="C166" s="35"/>
      <c r="D166" s="36"/>
      <c r="E166" s="37"/>
      <c r="F166" s="37"/>
      <c r="G166" s="37"/>
      <c r="H166" s="37"/>
      <c r="I166" s="37"/>
      <c r="J166" s="37"/>
      <c r="K166" s="34"/>
      <c r="L166" s="34"/>
    </row>
    <row r="167" spans="1:12" ht="15.75" customHeight="1">
      <c r="A167" s="34"/>
      <c r="B167" s="31"/>
      <c r="C167" s="35"/>
      <c r="D167" s="36"/>
      <c r="E167" s="37"/>
      <c r="F167" s="37"/>
      <c r="G167" s="37"/>
      <c r="H167" s="37"/>
      <c r="I167" s="37"/>
      <c r="J167" s="37"/>
      <c r="K167" s="34"/>
      <c r="L167" s="34"/>
    </row>
    <row r="168" spans="1:12" ht="15.75" customHeight="1">
      <c r="A168" s="34"/>
      <c r="B168" s="31"/>
      <c r="C168" s="35"/>
      <c r="D168" s="36"/>
      <c r="E168" s="37"/>
      <c r="F168" s="37"/>
      <c r="G168" s="37"/>
      <c r="H168" s="37"/>
      <c r="I168" s="37"/>
      <c r="J168" s="37"/>
      <c r="K168" s="34"/>
      <c r="L168" s="34"/>
    </row>
    <row r="169" spans="1:12" ht="15.75" customHeight="1">
      <c r="A169" s="34"/>
      <c r="B169" s="31"/>
      <c r="C169" s="35"/>
      <c r="D169" s="36"/>
      <c r="E169" s="37"/>
      <c r="F169" s="37"/>
      <c r="G169" s="37"/>
      <c r="H169" s="37"/>
      <c r="I169" s="37"/>
      <c r="J169" s="37"/>
      <c r="K169" s="34"/>
      <c r="L169" s="34"/>
    </row>
    <row r="170" spans="1:12" ht="15.75" customHeight="1">
      <c r="A170" s="34"/>
      <c r="B170" s="31"/>
      <c r="C170" s="35"/>
      <c r="D170" s="36"/>
      <c r="E170" s="37"/>
      <c r="F170" s="37"/>
      <c r="G170" s="37"/>
      <c r="H170" s="37"/>
      <c r="I170" s="37"/>
      <c r="J170" s="37"/>
      <c r="K170" s="34"/>
      <c r="L170" s="34"/>
    </row>
    <row r="171" spans="1:12" ht="15.75" customHeight="1">
      <c r="A171" s="34"/>
      <c r="B171" s="31"/>
      <c r="C171" s="35"/>
      <c r="D171" s="36"/>
      <c r="E171" s="37"/>
      <c r="F171" s="37"/>
      <c r="G171" s="37"/>
      <c r="H171" s="37"/>
      <c r="I171" s="37"/>
      <c r="J171" s="37"/>
      <c r="K171" s="34"/>
      <c r="L171" s="34"/>
    </row>
    <row r="172" spans="1:12" ht="15.75" customHeight="1">
      <c r="A172" s="34"/>
      <c r="B172" s="31"/>
      <c r="C172" s="35"/>
      <c r="D172" s="36"/>
      <c r="E172" s="37"/>
      <c r="F172" s="37"/>
      <c r="G172" s="37"/>
      <c r="H172" s="37"/>
      <c r="I172" s="37"/>
      <c r="J172" s="37"/>
      <c r="K172" s="34"/>
      <c r="L172" s="34"/>
    </row>
    <row r="173" spans="1:12" ht="15.75" customHeight="1">
      <c r="A173" s="34"/>
      <c r="B173" s="31"/>
      <c r="C173" s="35"/>
      <c r="D173" s="36"/>
      <c r="E173" s="37"/>
      <c r="F173" s="37"/>
      <c r="G173" s="37"/>
      <c r="H173" s="37"/>
      <c r="I173" s="37"/>
      <c r="J173" s="37"/>
      <c r="K173" s="34"/>
      <c r="L173" s="34"/>
    </row>
    <row r="174" spans="1:12" ht="15.75" customHeight="1">
      <c r="A174" s="34"/>
      <c r="B174" s="31"/>
      <c r="C174" s="35"/>
      <c r="D174" s="36"/>
      <c r="E174" s="37"/>
      <c r="F174" s="37"/>
      <c r="G174" s="37"/>
      <c r="H174" s="37"/>
      <c r="I174" s="37"/>
      <c r="J174" s="37"/>
      <c r="K174" s="34"/>
      <c r="L174" s="34"/>
    </row>
    <row r="175" spans="1:12" ht="15.75" customHeight="1">
      <c r="A175" s="34"/>
      <c r="B175" s="31"/>
      <c r="C175" s="35"/>
      <c r="D175" s="36"/>
      <c r="E175" s="37"/>
      <c r="F175" s="37"/>
      <c r="G175" s="37"/>
      <c r="H175" s="37"/>
      <c r="I175" s="37"/>
      <c r="J175" s="37"/>
      <c r="K175" s="34"/>
      <c r="L175" s="34"/>
    </row>
    <row r="176" spans="1:12" ht="15.75" customHeight="1">
      <c r="A176" s="34"/>
      <c r="B176" s="31"/>
      <c r="C176" s="35"/>
      <c r="D176" s="36"/>
      <c r="E176" s="37"/>
      <c r="F176" s="37"/>
      <c r="G176" s="37"/>
      <c r="H176" s="37"/>
      <c r="I176" s="37"/>
      <c r="J176" s="37"/>
      <c r="K176" s="34"/>
      <c r="L176" s="34"/>
    </row>
    <row r="177" spans="1:12" ht="15.75" customHeight="1">
      <c r="A177" s="34"/>
      <c r="B177" s="31"/>
      <c r="C177" s="35"/>
      <c r="D177" s="36"/>
      <c r="E177" s="37"/>
      <c r="F177" s="37"/>
      <c r="G177" s="37"/>
      <c r="H177" s="37"/>
      <c r="I177" s="37"/>
      <c r="J177" s="37"/>
      <c r="K177" s="34"/>
      <c r="L177" s="34"/>
    </row>
    <row r="178" spans="1:12" ht="15.75" customHeight="1">
      <c r="A178" s="34"/>
      <c r="B178" s="31"/>
      <c r="C178" s="35"/>
      <c r="D178" s="36"/>
      <c r="E178" s="37"/>
      <c r="F178" s="37"/>
      <c r="G178" s="37"/>
      <c r="H178" s="37"/>
      <c r="I178" s="37"/>
      <c r="J178" s="37"/>
      <c r="K178" s="34"/>
      <c r="L178" s="34"/>
    </row>
    <row r="179" spans="1:12" ht="15.75" customHeight="1"/>
    <row r="180" spans="1:12" ht="15.75" customHeight="1">
      <c r="A180" s="2" t="s">
        <v>26</v>
      </c>
      <c r="B180" s="2"/>
      <c r="C180" s="2" t="s">
        <v>27</v>
      </c>
      <c r="D180" s="2"/>
      <c r="E180" s="15" t="s">
        <v>34</v>
      </c>
      <c r="F180" s="15" t="s">
        <v>33</v>
      </c>
      <c r="G180" s="15" t="s">
        <v>28</v>
      </c>
    </row>
    <row r="181" spans="1:12" ht="15.75" customHeight="1">
      <c r="A181" s="3" t="s">
        <v>0</v>
      </c>
      <c r="B181" s="3"/>
      <c r="C181" s="4" t="s">
        <v>1</v>
      </c>
      <c r="D181" s="3"/>
      <c r="E181" s="16" t="s">
        <v>35</v>
      </c>
      <c r="F181" s="16" t="s">
        <v>29</v>
      </c>
      <c r="G181" s="17"/>
    </row>
    <row r="182" spans="1:12" ht="15.75" customHeight="1">
      <c r="A182" s="3" t="s">
        <v>2</v>
      </c>
      <c r="B182" s="3"/>
      <c r="C182" s="4" t="s">
        <v>3</v>
      </c>
      <c r="D182" s="3"/>
      <c r="E182" s="16" t="s">
        <v>35</v>
      </c>
      <c r="F182" s="16" t="s">
        <v>29</v>
      </c>
      <c r="G182" s="17"/>
    </row>
    <row r="183" spans="1:12" ht="15.75" customHeight="1">
      <c r="A183" s="3" t="s">
        <v>4</v>
      </c>
      <c r="B183" s="3"/>
      <c r="C183" s="4" t="s">
        <v>5</v>
      </c>
      <c r="D183" s="3"/>
      <c r="E183" s="16" t="s">
        <v>30</v>
      </c>
      <c r="F183" s="16" t="s">
        <v>30</v>
      </c>
      <c r="G183" s="17" t="s">
        <v>46</v>
      </c>
    </row>
    <row r="184" spans="1:12" ht="15.75" customHeight="1">
      <c r="A184" s="3" t="s">
        <v>6</v>
      </c>
      <c r="B184" s="3"/>
      <c r="C184" s="4" t="s">
        <v>7</v>
      </c>
      <c r="D184" s="3"/>
      <c r="E184" s="16" t="s">
        <v>31</v>
      </c>
      <c r="F184" s="16" t="s">
        <v>31</v>
      </c>
      <c r="G184" s="17" t="s">
        <v>47</v>
      </c>
    </row>
    <row r="185" spans="1:12" ht="15.75" customHeight="1">
      <c r="A185" s="3" t="s">
        <v>8</v>
      </c>
      <c r="B185" s="3"/>
      <c r="C185" s="4" t="s">
        <v>9</v>
      </c>
      <c r="D185" s="3"/>
      <c r="E185" s="16" t="s">
        <v>36</v>
      </c>
      <c r="F185" s="16" t="s">
        <v>29</v>
      </c>
      <c r="G185" s="17" t="s">
        <v>45</v>
      </c>
    </row>
    <row r="186" spans="1:12" ht="15.75" customHeight="1">
      <c r="A186" s="3" t="s">
        <v>10</v>
      </c>
      <c r="B186" s="3"/>
      <c r="C186" s="4" t="s">
        <v>11</v>
      </c>
      <c r="D186" s="3"/>
      <c r="E186" s="16" t="s">
        <v>37</v>
      </c>
      <c r="F186" s="16" t="s">
        <v>29</v>
      </c>
      <c r="G186" s="17" t="s">
        <v>45</v>
      </c>
    </row>
    <row r="187" spans="1:12" ht="15.75" customHeight="1">
      <c r="A187" s="3" t="s">
        <v>12</v>
      </c>
      <c r="B187" s="3"/>
      <c r="C187" s="4" t="s">
        <v>13</v>
      </c>
      <c r="D187" s="3"/>
      <c r="E187" s="16" t="s">
        <v>29</v>
      </c>
      <c r="F187" s="16" t="s">
        <v>29</v>
      </c>
      <c r="G187" s="17" t="s">
        <v>45</v>
      </c>
    </row>
    <row r="188" spans="1:12" ht="15.75" customHeight="1">
      <c r="A188" s="3" t="s">
        <v>14</v>
      </c>
      <c r="B188" s="3"/>
      <c r="C188" s="4" t="s">
        <v>15</v>
      </c>
      <c r="D188" s="3"/>
      <c r="E188" s="16" t="s">
        <v>32</v>
      </c>
      <c r="F188" s="16" t="s">
        <v>32</v>
      </c>
      <c r="G188" s="17" t="s">
        <v>48</v>
      </c>
    </row>
    <row r="189" spans="1:12" ht="15.75" customHeight="1">
      <c r="A189" s="3" t="s">
        <v>16</v>
      </c>
      <c r="B189" s="3"/>
      <c r="C189" s="4" t="s">
        <v>17</v>
      </c>
      <c r="D189" s="3"/>
      <c r="E189" s="16" t="s">
        <v>29</v>
      </c>
      <c r="F189" s="16" t="s">
        <v>29</v>
      </c>
      <c r="G189" s="17" t="s">
        <v>49</v>
      </c>
    </row>
    <row r="190" spans="1:12" ht="15.75" customHeight="1">
      <c r="A190" s="3" t="s">
        <v>18</v>
      </c>
      <c r="B190" s="3"/>
      <c r="C190" s="4" t="s">
        <v>19</v>
      </c>
      <c r="D190" s="3"/>
      <c r="E190" s="16" t="s">
        <v>29</v>
      </c>
      <c r="F190" s="16" t="s">
        <v>29</v>
      </c>
      <c r="G190" s="17" t="s">
        <v>45</v>
      </c>
    </row>
    <row r="191" spans="1:12" ht="15.75" customHeight="1">
      <c r="A191" s="3" t="s">
        <v>20</v>
      </c>
      <c r="B191" s="3"/>
      <c r="C191" s="4" t="s">
        <v>21</v>
      </c>
      <c r="D191" s="3"/>
      <c r="E191" s="16" t="s">
        <v>32</v>
      </c>
      <c r="F191" s="16" t="s">
        <v>32</v>
      </c>
      <c r="G191" s="17" t="s">
        <v>45</v>
      </c>
    </row>
    <row r="192" spans="1:12" ht="15.75" customHeight="1">
      <c r="A192" s="3" t="s">
        <v>22</v>
      </c>
      <c r="B192" s="3"/>
      <c r="C192" s="4" t="s">
        <v>23</v>
      </c>
      <c r="D192" s="3"/>
      <c r="E192" s="16" t="s">
        <v>29</v>
      </c>
      <c r="F192" s="16" t="s">
        <v>29</v>
      </c>
      <c r="G192" s="17" t="s">
        <v>49</v>
      </c>
    </row>
    <row r="193" spans="1:7" ht="15.75" customHeight="1">
      <c r="A193" s="5" t="s">
        <v>24</v>
      </c>
      <c r="B193" s="5"/>
      <c r="C193" s="6" t="s">
        <v>25</v>
      </c>
      <c r="D193" s="5"/>
      <c r="E193" s="16" t="s">
        <v>32</v>
      </c>
      <c r="F193" s="16" t="s">
        <v>32</v>
      </c>
      <c r="G193" s="17" t="s">
        <v>50</v>
      </c>
    </row>
    <row r="194" spans="1:7" ht="15.75" customHeight="1">
      <c r="A194" s="7"/>
      <c r="B194" s="7"/>
      <c r="C194" s="10"/>
      <c r="D194" s="7"/>
      <c r="E194" s="18"/>
      <c r="F194" s="18"/>
    </row>
    <row r="195" spans="1:7" ht="15.75" customHeight="1">
      <c r="A195" s="7"/>
      <c r="B195" s="7"/>
      <c r="C195" s="10"/>
      <c r="D195" s="7"/>
      <c r="E195" s="18"/>
      <c r="F195" s="18"/>
    </row>
    <row r="196" spans="1:7" ht="15.75" customHeight="1">
      <c r="A196" s="2" t="s">
        <v>27</v>
      </c>
      <c r="B196" s="2"/>
      <c r="C196" s="2" t="s">
        <v>34</v>
      </c>
      <c r="D196" s="2"/>
      <c r="E196" s="15" t="s">
        <v>33</v>
      </c>
    </row>
    <row r="197" spans="1:7" ht="15.75" customHeight="1">
      <c r="A197" s="5" t="s">
        <v>38</v>
      </c>
      <c r="B197" s="5"/>
      <c r="C197" s="8" t="s">
        <v>35</v>
      </c>
      <c r="D197" s="8"/>
      <c r="E197" s="17"/>
    </row>
    <row r="198" spans="1:7" ht="15.75" customHeight="1">
      <c r="A198" s="5" t="s">
        <v>39</v>
      </c>
      <c r="B198" s="5"/>
      <c r="C198" s="9" t="s">
        <v>42</v>
      </c>
      <c r="D198" s="9"/>
      <c r="E198" s="17"/>
    </row>
    <row r="199" spans="1:7" ht="15.75" customHeight="1">
      <c r="A199" s="5" t="s">
        <v>40</v>
      </c>
      <c r="B199" s="5"/>
      <c r="C199" s="9" t="s">
        <v>43</v>
      </c>
      <c r="D199" s="9"/>
      <c r="E199" s="17"/>
    </row>
    <row r="200" spans="1:7" ht="15.75" customHeight="1">
      <c r="A200" s="5" t="s">
        <v>41</v>
      </c>
      <c r="B200" s="5"/>
      <c r="C200" s="9" t="s">
        <v>44</v>
      </c>
      <c r="D200" s="9"/>
      <c r="E200" s="17"/>
    </row>
    <row r="201" spans="1:7" ht="15.75" customHeight="1"/>
    <row r="202" spans="1:7" ht="15.75" customHeight="1"/>
    <row r="203" spans="1:7" ht="15.75" customHeight="1"/>
    <row r="204" spans="1:7" ht="15.75" customHeight="1"/>
    <row r="205" spans="1:7" ht="15.75" customHeight="1"/>
    <row r="206" spans="1:7" ht="15.75" customHeight="1"/>
    <row r="207" spans="1:7" ht="15.75" customHeight="1"/>
    <row r="208" spans="1: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</sheetData>
  <protectedRanges>
    <protectedRange password="D593" sqref="A181:D192" name="Rango1_4"/>
  </protectedRanges>
  <autoFilter ref="A6:L111"/>
  <mergeCells count="6">
    <mergeCell ref="B138:B141"/>
    <mergeCell ref="B113:B116"/>
    <mergeCell ref="B118:B121"/>
    <mergeCell ref="B123:B126"/>
    <mergeCell ref="B128:B131"/>
    <mergeCell ref="B133:B136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1"/>
  <sheetViews>
    <sheetView topLeftCell="D4" workbookViewId="0">
      <pane ySplit="3" topLeftCell="A7" activePane="bottomLeft" state="frozen"/>
      <selection activeCell="A4" sqref="A4"/>
      <selection pane="bottomLeft" activeCell="H14" sqref="H14"/>
    </sheetView>
  </sheetViews>
  <sheetFormatPr baseColWidth="10" defaultColWidth="9.1640625" defaultRowHeight="14" x14ac:dyDescent="0"/>
  <cols>
    <col min="1" max="1" width="20.33203125" customWidth="1"/>
    <col min="2" max="2" width="13.33203125" customWidth="1"/>
    <col min="3" max="3" width="39.6640625" customWidth="1"/>
    <col min="4" max="4" width="11.5" style="13" customWidth="1"/>
    <col min="5" max="10" width="11.5" style="11" customWidth="1"/>
    <col min="11" max="12" width="11.5" customWidth="1"/>
    <col min="13" max="13" width="3.5" customWidth="1"/>
    <col min="14" max="14" width="11.33203125" customWidth="1"/>
    <col min="15" max="15" width="12.5" style="11" customWidth="1"/>
    <col min="16" max="16" width="13.6640625" customWidth="1"/>
  </cols>
  <sheetData>
    <row r="1" spans="1:16" ht="20">
      <c r="A1" s="77" t="s">
        <v>53</v>
      </c>
      <c r="B1" s="20"/>
    </row>
    <row r="2" spans="1:16">
      <c r="A2" s="22" t="s">
        <v>135</v>
      </c>
      <c r="B2" s="22"/>
    </row>
    <row r="3" spans="1:16">
      <c r="E3" s="26" t="s">
        <v>81</v>
      </c>
    </row>
    <row r="4" spans="1:16">
      <c r="A4" s="21" t="s">
        <v>67</v>
      </c>
      <c r="B4" s="21"/>
      <c r="E4" s="26" t="s">
        <v>82</v>
      </c>
      <c r="J4" s="11">
        <f>J5/12</f>
        <v>926.25</v>
      </c>
    </row>
    <row r="5" spans="1:16" ht="15" customHeight="1">
      <c r="A5" s="14"/>
      <c r="B5" s="14"/>
      <c r="E5" s="25" t="s">
        <v>80</v>
      </c>
      <c r="J5" s="11">
        <v>11115</v>
      </c>
    </row>
    <row r="6" spans="1:16" s="14" customFormat="1" ht="15" thickBot="1">
      <c r="A6" s="23" t="s">
        <v>65</v>
      </c>
      <c r="B6" s="23" t="s">
        <v>70</v>
      </c>
      <c r="C6" s="23" t="s">
        <v>121</v>
      </c>
      <c r="D6" s="24" t="s">
        <v>68</v>
      </c>
      <c r="E6" s="49" t="s">
        <v>66</v>
      </c>
      <c r="F6" s="19" t="s">
        <v>36</v>
      </c>
      <c r="G6" s="19" t="s">
        <v>51</v>
      </c>
      <c r="H6" s="19" t="s">
        <v>52</v>
      </c>
      <c r="I6" s="19" t="s">
        <v>55</v>
      </c>
      <c r="J6" s="19" t="s">
        <v>56</v>
      </c>
      <c r="K6" s="19" t="s">
        <v>73</v>
      </c>
      <c r="L6" s="19" t="s">
        <v>74</v>
      </c>
      <c r="N6"/>
      <c r="O6" s="11"/>
    </row>
    <row r="7" spans="1:16" s="14" customFormat="1" ht="15" customHeight="1" thickBot="1">
      <c r="A7" s="42" t="s">
        <v>99</v>
      </c>
      <c r="B7" s="42"/>
      <c r="C7" s="42"/>
      <c r="D7" s="43"/>
      <c r="E7" s="50"/>
      <c r="F7" s="44"/>
      <c r="G7" s="44"/>
      <c r="H7" s="44"/>
      <c r="I7" s="44"/>
      <c r="J7" s="44"/>
      <c r="K7" s="44"/>
      <c r="L7" s="44"/>
      <c r="N7" s="23" t="s">
        <v>143</v>
      </c>
      <c r="O7" s="79" t="s">
        <v>142</v>
      </c>
      <c r="P7" s="80" t="s">
        <v>139</v>
      </c>
    </row>
    <row r="8" spans="1:16" ht="15.75" customHeight="1">
      <c r="A8" s="51" t="s">
        <v>136</v>
      </c>
      <c r="B8" s="99" t="s">
        <v>143</v>
      </c>
      <c r="C8" s="63" t="s">
        <v>138</v>
      </c>
      <c r="D8" s="54" t="s">
        <v>69</v>
      </c>
      <c r="E8" s="47">
        <v>27600</v>
      </c>
      <c r="F8" s="55">
        <f>E8*P8</f>
        <v>9209.194869455212</v>
      </c>
      <c r="G8" s="55">
        <v>0</v>
      </c>
      <c r="H8" s="55">
        <v>0</v>
      </c>
      <c r="I8" s="55">
        <f>E8*P9</f>
        <v>6446.4364086186497</v>
      </c>
      <c r="J8" s="55">
        <f>E8*P10</f>
        <v>11944.368721926136</v>
      </c>
      <c r="K8" s="55">
        <f>IF(K$6="WL5",J:J*'Grants Rates'!H$5,)</f>
        <v>0</v>
      </c>
      <c r="L8" s="64">
        <f>IF(L$6="WL5",K:K*'Grants Rates'!I$5,)</f>
        <v>0</v>
      </c>
      <c r="N8" t="s">
        <v>36</v>
      </c>
      <c r="O8" s="11">
        <v>500000</v>
      </c>
      <c r="P8" s="12">
        <f>O8/O11</f>
        <v>0.33366648077736277</v>
      </c>
    </row>
    <row r="9" spans="1:16" ht="15.75" customHeight="1">
      <c r="A9" s="58" t="s">
        <v>136</v>
      </c>
      <c r="B9" s="100" t="s">
        <v>143</v>
      </c>
      <c r="C9" s="35" t="s">
        <v>148</v>
      </c>
      <c r="D9" s="36" t="s">
        <v>69</v>
      </c>
      <c r="E9" s="38">
        <v>24000</v>
      </c>
      <c r="F9" s="37">
        <f>E9*P8</f>
        <v>8007.9955386567062</v>
      </c>
      <c r="G9" s="37">
        <v>0</v>
      </c>
      <c r="H9" s="37">
        <v>0</v>
      </c>
      <c r="I9" s="37">
        <f>E9*P9</f>
        <v>5605.5968770596955</v>
      </c>
      <c r="J9" s="37">
        <f>E9*P10</f>
        <v>10386.407584283595</v>
      </c>
      <c r="K9" s="37">
        <f>IF(K$6="WL5",J:J*'Grants Rates'!H$5,)</f>
        <v>0</v>
      </c>
      <c r="L9" s="65">
        <f>IF(L$6="WL5",K:K*'Grants Rates'!I$5,)</f>
        <v>0</v>
      </c>
      <c r="N9" t="s">
        <v>55</v>
      </c>
      <c r="O9" s="11">
        <v>350000</v>
      </c>
      <c r="P9" s="12">
        <f>O9/O11</f>
        <v>0.23356653654415396</v>
      </c>
    </row>
    <row r="10" spans="1:16" ht="15.75" customHeight="1">
      <c r="A10" s="58" t="s">
        <v>136</v>
      </c>
      <c r="B10" s="100" t="s">
        <v>143</v>
      </c>
      <c r="C10" s="35" t="s">
        <v>149</v>
      </c>
      <c r="D10" s="36" t="s">
        <v>69</v>
      </c>
      <c r="E10" s="38">
        <f>1500*12</f>
        <v>18000</v>
      </c>
      <c r="F10" s="37">
        <v>0</v>
      </c>
      <c r="G10" s="37">
        <f>IF(G$6="WL5",F:F*'Grants Rates'!D$5,)</f>
        <v>0</v>
      </c>
      <c r="H10" s="37">
        <f>IF(H$6="WL5",G:G*'Grants Rates'!E$5,)</f>
        <v>0</v>
      </c>
      <c r="I10" s="37">
        <f>IF(I$6="WL5",H:H*'Grants Rates'!F$5,)</f>
        <v>0</v>
      </c>
      <c r="J10" s="37">
        <f>E10</f>
        <v>18000</v>
      </c>
      <c r="K10" s="37">
        <f>IF(K$6="WL5",J:J*'Grants Rates'!H$5,)</f>
        <v>0</v>
      </c>
      <c r="L10" s="65">
        <f>IF(L$6="WL5",K:K*'Grants Rates'!I$5,)</f>
        <v>0</v>
      </c>
      <c r="N10" t="s">
        <v>140</v>
      </c>
      <c r="O10" s="11">
        <v>648502.33333333337</v>
      </c>
      <c r="P10" s="12">
        <f>O10/O11</f>
        <v>0.43276698267848318</v>
      </c>
    </row>
    <row r="11" spans="1:16" ht="15.75" customHeight="1">
      <c r="A11" s="58" t="s">
        <v>136</v>
      </c>
      <c r="B11" s="100" t="s">
        <v>143</v>
      </c>
      <c r="C11" s="35" t="s">
        <v>150</v>
      </c>
      <c r="D11" s="36" t="s">
        <v>69</v>
      </c>
      <c r="E11" s="38">
        <v>14400</v>
      </c>
      <c r="F11" s="37">
        <f>E11*P8</f>
        <v>4804.7973231940241</v>
      </c>
      <c r="G11" s="37">
        <v>0</v>
      </c>
      <c r="H11" s="37">
        <v>0</v>
      </c>
      <c r="I11" s="37">
        <f>E11*P9</f>
        <v>3363.3581262358171</v>
      </c>
      <c r="J11" s="37">
        <f>E11*P10</f>
        <v>6231.8445505701575</v>
      </c>
      <c r="K11" s="37">
        <f>IF(K$6="WL5",J:J*'Grants Rates'!H$5,)</f>
        <v>0</v>
      </c>
      <c r="L11" s="65">
        <f>IF(L$6="WL5",K:K*'Grants Rates'!I$5,)</f>
        <v>0</v>
      </c>
      <c r="N11" s="14" t="s">
        <v>141</v>
      </c>
      <c r="O11" s="78">
        <f>SUM(O8:O10)</f>
        <v>1498502.3333333335</v>
      </c>
      <c r="P11" s="12"/>
    </row>
    <row r="12" spans="1:16" ht="15.75" customHeight="1">
      <c r="A12" s="58" t="s">
        <v>136</v>
      </c>
      <c r="B12" s="100" t="s">
        <v>134</v>
      </c>
      <c r="C12" s="35" t="s">
        <v>151</v>
      </c>
      <c r="D12" s="36" t="s">
        <v>69</v>
      </c>
      <c r="E12" s="38">
        <f>2400*12</f>
        <v>28800</v>
      </c>
      <c r="F12" s="81">
        <v>2000</v>
      </c>
      <c r="G12" s="81">
        <v>2000</v>
      </c>
      <c r="H12" s="81">
        <v>2000</v>
      </c>
      <c r="I12" s="81">
        <v>2000</v>
      </c>
      <c r="J12" s="37">
        <f>1500*12</f>
        <v>18000</v>
      </c>
      <c r="K12" s="37">
        <v>1400</v>
      </c>
      <c r="L12" s="65">
        <v>1400</v>
      </c>
    </row>
    <row r="13" spans="1:16" ht="15.75" customHeight="1">
      <c r="A13" s="58" t="s">
        <v>136</v>
      </c>
      <c r="B13" s="101" t="s">
        <v>146</v>
      </c>
      <c r="C13" s="35" t="s">
        <v>152</v>
      </c>
      <c r="D13" s="36" t="s">
        <v>69</v>
      </c>
      <c r="E13" s="38">
        <v>15600</v>
      </c>
      <c r="F13" s="37">
        <v>0</v>
      </c>
      <c r="G13" s="37">
        <v>0</v>
      </c>
      <c r="H13" s="37">
        <f>E13*P21+1157</f>
        <v>8098.0335960362936</v>
      </c>
      <c r="I13" s="37">
        <v>0</v>
      </c>
      <c r="J13" s="37">
        <f>E13*P23</f>
        <v>7502.1274712909899</v>
      </c>
      <c r="K13" s="37">
        <v>0</v>
      </c>
      <c r="L13" s="65">
        <v>0</v>
      </c>
      <c r="P13" s="106" t="s">
        <v>139</v>
      </c>
    </row>
    <row r="14" spans="1:16" ht="15.75" customHeight="1" thickBot="1">
      <c r="A14" s="58" t="s">
        <v>136</v>
      </c>
      <c r="B14" s="101" t="s">
        <v>146</v>
      </c>
      <c r="C14" s="35" t="s">
        <v>153</v>
      </c>
      <c r="D14" s="36" t="s">
        <v>69</v>
      </c>
      <c r="E14" s="38">
        <v>6800</v>
      </c>
      <c r="F14" s="37">
        <v>0</v>
      </c>
      <c r="G14" s="37">
        <v>0</v>
      </c>
      <c r="H14" s="37">
        <f>E14*P21+504</f>
        <v>3529.5787469901793</v>
      </c>
      <c r="I14" s="37">
        <v>0</v>
      </c>
      <c r="J14" s="37">
        <f>E14*P23</f>
        <v>3270.1581285114571</v>
      </c>
      <c r="K14" s="37">
        <v>0</v>
      </c>
      <c r="L14" s="65">
        <v>0</v>
      </c>
      <c r="N14" s="23" t="s">
        <v>144</v>
      </c>
      <c r="O14" s="79" t="s">
        <v>142</v>
      </c>
      <c r="P14" s="107"/>
    </row>
    <row r="15" spans="1:16" ht="15.75" customHeight="1">
      <c r="A15" s="58" t="s">
        <v>136</v>
      </c>
      <c r="B15" s="101" t="s">
        <v>144</v>
      </c>
      <c r="C15" s="35" t="s">
        <v>154</v>
      </c>
      <c r="D15" s="36" t="s">
        <v>69</v>
      </c>
      <c r="E15" s="38">
        <v>11400</v>
      </c>
      <c r="F15" s="37">
        <v>0</v>
      </c>
      <c r="G15" s="37">
        <f>E15*P15+913</f>
        <v>5478.4700418394623</v>
      </c>
      <c r="H15" s="37">
        <v>0</v>
      </c>
      <c r="I15" s="37">
        <v>0</v>
      </c>
      <c r="J15" s="37">
        <f>E15*P17</f>
        <v>5921.4359497926444</v>
      </c>
      <c r="K15" s="37">
        <v>0</v>
      </c>
      <c r="L15" s="65">
        <v>0</v>
      </c>
      <c r="N15" t="s">
        <v>51</v>
      </c>
      <c r="O15" s="11">
        <v>500000</v>
      </c>
      <c r="P15" s="12">
        <f>O15/O18</f>
        <v>0.40047982823153178</v>
      </c>
    </row>
    <row r="16" spans="1:16" ht="15.75" customHeight="1">
      <c r="A16" s="58" t="s">
        <v>136</v>
      </c>
      <c r="B16" s="101" t="s">
        <v>144</v>
      </c>
      <c r="C16" s="35" t="s">
        <v>155</v>
      </c>
      <c r="D16" s="36" t="s">
        <v>69</v>
      </c>
      <c r="E16" s="38">
        <v>15000</v>
      </c>
      <c r="F16" s="37">
        <v>0</v>
      </c>
      <c r="G16" s="37">
        <v>4806</v>
      </c>
      <c r="H16" s="37">
        <v>0</v>
      </c>
      <c r="I16" s="37">
        <v>0</v>
      </c>
      <c r="J16" s="37">
        <f>E16-(G16+L16)</f>
        <v>5194</v>
      </c>
      <c r="K16" s="37"/>
      <c r="L16" s="65">
        <v>5000</v>
      </c>
      <c r="N16" t="s">
        <v>210</v>
      </c>
      <c r="O16" s="11">
        <f>(150000/12)*8</f>
        <v>100000</v>
      </c>
      <c r="P16" s="12">
        <f>O16/O18</f>
        <v>8.0095965646306347E-2</v>
      </c>
    </row>
    <row r="17" spans="1:16" ht="15.75" customHeight="1">
      <c r="A17" s="102" t="s">
        <v>217</v>
      </c>
      <c r="B17" s="101" t="s">
        <v>143</v>
      </c>
      <c r="C17" s="69" t="s">
        <v>149</v>
      </c>
      <c r="D17" s="13" t="s">
        <v>69</v>
      </c>
      <c r="N17" t="s">
        <v>145</v>
      </c>
      <c r="O17" s="11">
        <v>648502.33333333337</v>
      </c>
      <c r="P17" s="12">
        <f>O17/O18</f>
        <v>0.51942420612216178</v>
      </c>
    </row>
    <row r="18" spans="1:16" ht="15.75" customHeight="1">
      <c r="A18" s="102" t="s">
        <v>217</v>
      </c>
      <c r="B18" s="101" t="s">
        <v>144</v>
      </c>
      <c r="C18" s="69" t="s">
        <v>218</v>
      </c>
      <c r="N18" s="14" t="s">
        <v>141</v>
      </c>
      <c r="O18" s="78">
        <f>SUM(O15:O17)</f>
        <v>1248502.3333333335</v>
      </c>
      <c r="P18" s="12"/>
    </row>
    <row r="19" spans="1:16" ht="15.75" customHeight="1">
      <c r="A19" s="102" t="s">
        <v>217</v>
      </c>
      <c r="B19" s="101" t="s">
        <v>146</v>
      </c>
      <c r="C19" s="69" t="s">
        <v>218</v>
      </c>
      <c r="P19" s="106" t="s">
        <v>139</v>
      </c>
    </row>
    <row r="20" spans="1:16" ht="15.75" customHeight="1" thickBot="1">
      <c r="A20" s="102" t="s">
        <v>217</v>
      </c>
      <c r="B20" s="101" t="s">
        <v>143</v>
      </c>
      <c r="C20" s="69" t="s">
        <v>218</v>
      </c>
      <c r="N20" s="23" t="s">
        <v>146</v>
      </c>
      <c r="O20" s="79" t="s">
        <v>142</v>
      </c>
      <c r="P20" s="107"/>
    </row>
    <row r="21" spans="1:16" ht="15.75" customHeight="1">
      <c r="N21" t="s">
        <v>52</v>
      </c>
      <c r="O21" s="11">
        <v>600000</v>
      </c>
      <c r="P21" s="12">
        <f>O21/O24</f>
        <v>0.44493805102796752</v>
      </c>
    </row>
    <row r="22" spans="1:16" ht="15.75" customHeight="1">
      <c r="N22" t="s">
        <v>147</v>
      </c>
      <c r="O22" s="11">
        <f>(150000/12)*8</f>
        <v>100000</v>
      </c>
      <c r="P22" s="12">
        <f>O22/O24</f>
        <v>7.4156341837994591E-2</v>
      </c>
    </row>
    <row r="23" spans="1:16" ht="15.75" customHeight="1">
      <c r="A23" t="s">
        <v>137</v>
      </c>
      <c r="N23" t="s">
        <v>145</v>
      </c>
      <c r="O23" s="11">
        <v>648502.33333333337</v>
      </c>
      <c r="P23" s="12">
        <f>O23/O24</f>
        <v>0.48090560713403779</v>
      </c>
    </row>
    <row r="24" spans="1:16" ht="15.75" customHeight="1">
      <c r="N24" s="14" t="s">
        <v>141</v>
      </c>
      <c r="O24" s="78">
        <f>SUM(O21:O23)</f>
        <v>1348502.3333333335</v>
      </c>
      <c r="P24" s="12"/>
    </row>
    <row r="25" spans="1:16" ht="15.75" customHeight="1">
      <c r="A25" t="s">
        <v>159</v>
      </c>
    </row>
    <row r="26" spans="1:16" ht="15.75" customHeight="1"/>
    <row r="27" spans="1:16" ht="15.75" customHeight="1" thickBot="1">
      <c r="N27" s="23" t="s">
        <v>156</v>
      </c>
      <c r="O27" s="79" t="s">
        <v>142</v>
      </c>
      <c r="P27" s="80" t="s">
        <v>139</v>
      </c>
    </row>
    <row r="28" spans="1:16" ht="15.75" customHeight="1">
      <c r="N28" t="s">
        <v>36</v>
      </c>
      <c r="O28" s="11">
        <v>500000</v>
      </c>
      <c r="P28" s="82">
        <f>O28/O35</f>
        <v>0.11892000655487076</v>
      </c>
    </row>
    <row r="29" spans="1:16" ht="15.75" customHeight="1">
      <c r="N29" t="s">
        <v>51</v>
      </c>
      <c r="O29" s="11">
        <v>450000</v>
      </c>
      <c r="P29" s="82">
        <f>O29/O35</f>
        <v>0.10702800589938369</v>
      </c>
    </row>
    <row r="30" spans="1:16" ht="15.75" customHeight="1">
      <c r="N30" t="s">
        <v>52</v>
      </c>
      <c r="O30" s="11">
        <v>600000</v>
      </c>
      <c r="P30" s="82">
        <f>O30/O35</f>
        <v>0.14270400786584492</v>
      </c>
    </row>
    <row r="31" spans="1:16" ht="15.75" customHeight="1">
      <c r="N31" t="s">
        <v>55</v>
      </c>
      <c r="O31" s="11">
        <v>500000</v>
      </c>
      <c r="P31" s="82">
        <f>O31/O35</f>
        <v>0.11892000655487076</v>
      </c>
    </row>
    <row r="32" spans="1:16" ht="15.75" customHeight="1">
      <c r="N32" t="s">
        <v>157</v>
      </c>
      <c r="O32" s="11">
        <v>100000</v>
      </c>
      <c r="P32" s="82">
        <f>O32/O35</f>
        <v>2.3784001310974152E-2</v>
      </c>
    </row>
    <row r="33" spans="14:16" ht="15.75" customHeight="1">
      <c r="N33" t="s">
        <v>158</v>
      </c>
      <c r="O33" s="11">
        <v>100000</v>
      </c>
      <c r="P33" s="82">
        <f>O33/O35</f>
        <v>2.3784001310974152E-2</v>
      </c>
    </row>
    <row r="34" spans="14:16" ht="15.75" customHeight="1">
      <c r="N34" t="s">
        <v>56</v>
      </c>
      <c r="O34" s="11">
        <v>1954507</v>
      </c>
      <c r="P34" s="82">
        <f>O34/O35</f>
        <v>0.46485997050308159</v>
      </c>
    </row>
    <row r="35" spans="14:16" ht="15.75" customHeight="1">
      <c r="N35" s="14" t="s">
        <v>141</v>
      </c>
      <c r="O35" s="78">
        <f>SUM(O28:O34)</f>
        <v>4204507</v>
      </c>
      <c r="P35" s="12"/>
    </row>
    <row r="36" spans="14:16" ht="15.75" customHeight="1"/>
    <row r="37" spans="14:16" ht="15.75" customHeight="1"/>
    <row r="38" spans="14:16" ht="15.75" customHeight="1"/>
    <row r="39" spans="14:16" ht="15.75" customHeight="1"/>
    <row r="40" spans="14:16" ht="15.75" customHeight="1"/>
    <row r="41" spans="14:16" ht="15.75" customHeight="1"/>
    <row r="42" spans="14:16" ht="15.75" customHeight="1"/>
    <row r="43" spans="14:16" ht="15.75" customHeight="1"/>
    <row r="44" spans="14:16" ht="15.75" customHeight="1"/>
    <row r="45" spans="14:16" ht="15.75" customHeight="1"/>
    <row r="46" spans="14:16" ht="15.75" customHeight="1"/>
    <row r="47" spans="14:16" ht="15.75" customHeight="1"/>
    <row r="48" spans="14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</sheetData>
  <autoFilter ref="A6:L16"/>
  <mergeCells count="2">
    <mergeCell ref="P19:P20"/>
    <mergeCell ref="P13:P14"/>
  </mergeCell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5" zoomScaleNormal="85" zoomScalePageLayoutView="85" workbookViewId="0">
      <selection activeCell="D14" sqref="D14"/>
    </sheetView>
  </sheetViews>
  <sheetFormatPr baseColWidth="10" defaultColWidth="11.5" defaultRowHeight="14" x14ac:dyDescent="0"/>
  <cols>
    <col min="1" max="1" width="20.5" customWidth="1"/>
    <col min="2" max="3" width="18.5" customWidth="1"/>
    <col min="4" max="4" width="18.5" style="13" customWidth="1"/>
    <col min="5" max="10" width="18.5" customWidth="1"/>
  </cols>
  <sheetData>
    <row r="1" spans="1:10" ht="21" customHeight="1">
      <c r="A1" s="77" t="s">
        <v>53</v>
      </c>
      <c r="G1" s="108" t="s">
        <v>206</v>
      </c>
    </row>
    <row r="2" spans="1:10">
      <c r="A2" s="22" t="s">
        <v>135</v>
      </c>
      <c r="G2" s="108"/>
    </row>
    <row r="3" spans="1:10">
      <c r="G3" s="108"/>
    </row>
    <row r="4" spans="1:10">
      <c r="A4" s="21" t="s">
        <v>160</v>
      </c>
      <c r="G4" s="108"/>
    </row>
    <row r="5" spans="1:10" ht="15" thickBot="1">
      <c r="G5" s="25" t="s">
        <v>80</v>
      </c>
    </row>
    <row r="6" spans="1:10" ht="15" thickBot="1">
      <c r="A6" s="89" t="s">
        <v>180</v>
      </c>
      <c r="B6" s="89" t="s">
        <v>181</v>
      </c>
      <c r="C6" s="89" t="s">
        <v>179</v>
      </c>
      <c r="D6" s="90" t="s">
        <v>191</v>
      </c>
      <c r="E6" s="89" t="s">
        <v>182</v>
      </c>
      <c r="F6" s="90" t="s">
        <v>187</v>
      </c>
      <c r="G6" s="90" t="s">
        <v>185</v>
      </c>
      <c r="H6" s="91" t="s">
        <v>183</v>
      </c>
      <c r="I6" s="92" t="s">
        <v>189</v>
      </c>
      <c r="J6" s="91" t="s">
        <v>28</v>
      </c>
    </row>
    <row r="7" spans="1:10">
      <c r="A7" s="83" t="s">
        <v>161</v>
      </c>
      <c r="B7" s="84" t="s">
        <v>162</v>
      </c>
      <c r="C7" s="84" t="s">
        <v>144</v>
      </c>
      <c r="D7" s="98">
        <v>39934</v>
      </c>
      <c r="E7" s="93" t="s">
        <v>184</v>
      </c>
      <c r="F7" s="94" t="s">
        <v>51</v>
      </c>
      <c r="G7" s="94" t="s">
        <v>51</v>
      </c>
      <c r="H7" s="85"/>
      <c r="I7" s="86"/>
    </row>
    <row r="8" spans="1:10">
      <c r="A8" s="1" t="s">
        <v>163</v>
      </c>
      <c r="B8" s="1" t="s">
        <v>164</v>
      </c>
      <c r="C8" s="1" t="s">
        <v>144</v>
      </c>
      <c r="D8" s="98">
        <v>39535</v>
      </c>
      <c r="E8" s="88" t="s">
        <v>184</v>
      </c>
      <c r="F8" s="95" t="s">
        <v>51</v>
      </c>
      <c r="G8" s="95" t="s">
        <v>51</v>
      </c>
      <c r="H8" s="1"/>
      <c r="I8" s="97"/>
    </row>
    <row r="9" spans="1:10">
      <c r="A9" s="1" t="s">
        <v>163</v>
      </c>
      <c r="B9" s="1" t="s">
        <v>165</v>
      </c>
      <c r="C9" s="1" t="s">
        <v>146</v>
      </c>
      <c r="D9" s="98">
        <v>40291</v>
      </c>
      <c r="E9" s="88" t="s">
        <v>184</v>
      </c>
      <c r="F9" s="95" t="s">
        <v>52</v>
      </c>
      <c r="G9" s="95" t="s">
        <v>52</v>
      </c>
      <c r="H9" s="1"/>
      <c r="I9" s="97"/>
    </row>
    <row r="10" spans="1:10">
      <c r="A10" s="1" t="s">
        <v>161</v>
      </c>
      <c r="B10" s="1" t="s">
        <v>166</v>
      </c>
      <c r="C10" s="1" t="s">
        <v>144</v>
      </c>
      <c r="D10" s="98">
        <v>40688</v>
      </c>
      <c r="E10" s="88" t="s">
        <v>184</v>
      </c>
      <c r="F10" s="95" t="s">
        <v>51</v>
      </c>
      <c r="G10" s="95" t="s">
        <v>51</v>
      </c>
      <c r="H10" s="1"/>
      <c r="I10" s="97"/>
    </row>
    <row r="11" spans="1:10">
      <c r="A11" s="1" t="s">
        <v>163</v>
      </c>
      <c r="B11" s="1" t="s">
        <v>167</v>
      </c>
      <c r="C11" s="1" t="s">
        <v>146</v>
      </c>
      <c r="D11" s="98">
        <v>39535</v>
      </c>
      <c r="E11" s="88" t="s">
        <v>184</v>
      </c>
      <c r="F11" s="95" t="s">
        <v>52</v>
      </c>
      <c r="G11" s="95" t="s">
        <v>52</v>
      </c>
      <c r="H11" s="1"/>
      <c r="I11" s="97"/>
    </row>
    <row r="12" spans="1:10">
      <c r="A12" s="1" t="s">
        <v>163</v>
      </c>
      <c r="B12" s="1" t="s">
        <v>168</v>
      </c>
      <c r="C12" s="1" t="s">
        <v>143</v>
      </c>
      <c r="D12" s="98">
        <v>40259</v>
      </c>
      <c r="E12" s="87" t="s">
        <v>169</v>
      </c>
      <c r="F12" s="95" t="s">
        <v>186</v>
      </c>
      <c r="G12" s="95" t="s">
        <v>52</v>
      </c>
      <c r="H12" s="1"/>
      <c r="I12" s="97"/>
    </row>
    <row r="13" spans="1:10">
      <c r="A13" s="1" t="s">
        <v>163</v>
      </c>
      <c r="B13" s="1" t="s">
        <v>170</v>
      </c>
      <c r="C13" s="1" t="s">
        <v>143</v>
      </c>
      <c r="D13" s="98">
        <v>41157</v>
      </c>
      <c r="E13" s="88" t="s">
        <v>190</v>
      </c>
      <c r="F13" s="95" t="s">
        <v>186</v>
      </c>
      <c r="G13" s="95" t="s">
        <v>55</v>
      </c>
      <c r="H13" s="88"/>
      <c r="I13" s="97"/>
    </row>
    <row r="14" spans="1:10">
      <c r="A14" s="1" t="s">
        <v>161</v>
      </c>
      <c r="B14" s="1" t="s">
        <v>171</v>
      </c>
      <c r="C14" s="1" t="s">
        <v>146</v>
      </c>
      <c r="D14" s="98">
        <v>41108</v>
      </c>
      <c r="E14" s="88" t="s">
        <v>184</v>
      </c>
      <c r="F14" s="95" t="s">
        <v>36</v>
      </c>
      <c r="G14" s="95" t="s">
        <v>36</v>
      </c>
      <c r="H14" s="88"/>
      <c r="I14" s="97"/>
    </row>
    <row r="15" spans="1:10">
      <c r="A15" s="1" t="s">
        <v>172</v>
      </c>
      <c r="B15" s="1" t="s">
        <v>173</v>
      </c>
      <c r="C15" s="1" t="s">
        <v>143</v>
      </c>
      <c r="D15" s="98">
        <v>38541</v>
      </c>
      <c r="E15" s="1" t="s">
        <v>197</v>
      </c>
      <c r="F15" s="95" t="s">
        <v>186</v>
      </c>
      <c r="G15" s="96" t="s">
        <v>55</v>
      </c>
      <c r="H15" s="1"/>
      <c r="I15" s="97"/>
      <c r="J15" s="48" t="s">
        <v>188</v>
      </c>
    </row>
    <row r="16" spans="1:10">
      <c r="A16" s="1" t="s">
        <v>174</v>
      </c>
      <c r="B16" s="1" t="s">
        <v>175</v>
      </c>
      <c r="C16" s="1" t="s">
        <v>143</v>
      </c>
      <c r="D16" s="98">
        <v>39609</v>
      </c>
      <c r="E16" s="88" t="s">
        <v>184</v>
      </c>
      <c r="F16" s="96" t="s">
        <v>36</v>
      </c>
      <c r="G16" s="96" t="s">
        <v>36</v>
      </c>
      <c r="H16" s="1"/>
      <c r="I16" s="97"/>
    </row>
    <row r="17" spans="1:9">
      <c r="A17" s="1" t="s">
        <v>199</v>
      </c>
      <c r="B17" s="1" t="s">
        <v>176</v>
      </c>
      <c r="C17" s="1" t="s">
        <v>146</v>
      </c>
      <c r="D17" s="98">
        <v>41494</v>
      </c>
      <c r="E17" s="88" t="s">
        <v>169</v>
      </c>
      <c r="F17" s="96" t="s">
        <v>177</v>
      </c>
      <c r="G17" s="95" t="s">
        <v>133</v>
      </c>
      <c r="H17" s="1"/>
      <c r="I17" s="97"/>
    </row>
    <row r="18" spans="1:9">
      <c r="A18" s="1" t="s">
        <v>199</v>
      </c>
      <c r="B18" s="1" t="s">
        <v>178</v>
      </c>
      <c r="C18" s="1" t="s">
        <v>144</v>
      </c>
      <c r="D18" s="98">
        <v>41494</v>
      </c>
      <c r="E18" s="88" t="s">
        <v>169</v>
      </c>
      <c r="F18" s="96" t="s">
        <v>177</v>
      </c>
      <c r="G18" s="95" t="s">
        <v>133</v>
      </c>
      <c r="H18" s="1"/>
      <c r="I18" s="97"/>
    </row>
    <row r="19" spans="1:9">
      <c r="A19" s="1" t="s">
        <v>193</v>
      </c>
      <c r="B19" s="1" t="s">
        <v>192</v>
      </c>
      <c r="C19" s="1" t="s">
        <v>144</v>
      </c>
      <c r="D19" s="98">
        <v>41821</v>
      </c>
      <c r="E19" s="1" t="s">
        <v>197</v>
      </c>
      <c r="F19" s="95" t="s">
        <v>194</v>
      </c>
      <c r="G19" s="95" t="s">
        <v>195</v>
      </c>
      <c r="H19" s="96" t="s">
        <v>196</v>
      </c>
      <c r="I19" s="1"/>
    </row>
    <row r="20" spans="1:9">
      <c r="A20" s="1" t="s">
        <v>193</v>
      </c>
      <c r="B20" s="1" t="s">
        <v>192</v>
      </c>
      <c r="C20" s="1" t="s">
        <v>146</v>
      </c>
      <c r="D20" s="98">
        <v>41821</v>
      </c>
      <c r="E20" s="1" t="s">
        <v>197</v>
      </c>
      <c r="F20" s="95" t="s">
        <v>194</v>
      </c>
      <c r="G20" s="95" t="s">
        <v>198</v>
      </c>
      <c r="H20" s="96" t="s">
        <v>196</v>
      </c>
      <c r="I20" s="1"/>
    </row>
    <row r="21" spans="1:9">
      <c r="A21" s="1" t="s">
        <v>199</v>
      </c>
      <c r="B21" s="1" t="s">
        <v>192</v>
      </c>
      <c r="C21" s="1" t="s">
        <v>143</v>
      </c>
      <c r="D21" s="98">
        <v>41821</v>
      </c>
      <c r="E21" s="1" t="s">
        <v>169</v>
      </c>
      <c r="F21" s="95" t="s">
        <v>194</v>
      </c>
      <c r="G21" s="95" t="s">
        <v>133</v>
      </c>
      <c r="H21" s="96" t="s">
        <v>196</v>
      </c>
      <c r="I21" s="97"/>
    </row>
    <row r="22" spans="1:9">
      <c r="A22" s="1" t="s">
        <v>193</v>
      </c>
      <c r="B22" s="1" t="s">
        <v>192</v>
      </c>
      <c r="C22" s="1" t="s">
        <v>146</v>
      </c>
      <c r="D22" s="98">
        <v>41821</v>
      </c>
      <c r="E22" s="1" t="s">
        <v>184</v>
      </c>
      <c r="F22" s="95" t="s">
        <v>194</v>
      </c>
      <c r="G22" s="95" t="s">
        <v>52</v>
      </c>
      <c r="H22" s="95" t="s">
        <v>196</v>
      </c>
      <c r="I22" s="1"/>
    </row>
    <row r="23" spans="1:9">
      <c r="A23" s="1" t="s">
        <v>200</v>
      </c>
      <c r="B23" s="1" t="s">
        <v>192</v>
      </c>
      <c r="C23" s="1" t="s">
        <v>143</v>
      </c>
      <c r="D23" s="98">
        <v>41821</v>
      </c>
      <c r="E23" s="1" t="s">
        <v>201</v>
      </c>
      <c r="F23" s="95" t="s">
        <v>194</v>
      </c>
      <c r="G23" s="95" t="s">
        <v>133</v>
      </c>
      <c r="H23" s="95" t="s">
        <v>196</v>
      </c>
      <c r="I23" s="1"/>
    </row>
    <row r="24" spans="1:9">
      <c r="A24" s="1" t="s">
        <v>200</v>
      </c>
      <c r="B24" s="1" t="s">
        <v>192</v>
      </c>
      <c r="C24" s="1" t="s">
        <v>144</v>
      </c>
      <c r="D24" s="98">
        <v>41821</v>
      </c>
      <c r="E24" s="1" t="s">
        <v>201</v>
      </c>
      <c r="F24" s="95" t="s">
        <v>194</v>
      </c>
      <c r="G24" s="95" t="s">
        <v>133</v>
      </c>
      <c r="H24" s="95" t="s">
        <v>196</v>
      </c>
      <c r="I24" s="1"/>
    </row>
    <row r="25" spans="1:9">
      <c r="A25" s="1" t="s">
        <v>200</v>
      </c>
      <c r="B25" s="1" t="s">
        <v>192</v>
      </c>
      <c r="C25" s="1" t="s">
        <v>146</v>
      </c>
      <c r="D25" s="98">
        <v>41821</v>
      </c>
      <c r="E25" s="1" t="s">
        <v>201</v>
      </c>
      <c r="F25" s="95" t="s">
        <v>194</v>
      </c>
      <c r="G25" s="95" t="s">
        <v>133</v>
      </c>
      <c r="H25" s="95" t="s">
        <v>196</v>
      </c>
      <c r="I25" s="1"/>
    </row>
    <row r="26" spans="1:9">
      <c r="A26" s="1" t="s">
        <v>202</v>
      </c>
      <c r="B26" s="1" t="s">
        <v>192</v>
      </c>
      <c r="C26" s="1" t="s">
        <v>143</v>
      </c>
      <c r="D26" s="98">
        <v>41821</v>
      </c>
      <c r="E26" s="1" t="s">
        <v>201</v>
      </c>
      <c r="F26" s="95" t="s">
        <v>194</v>
      </c>
      <c r="G26" s="95" t="s">
        <v>133</v>
      </c>
      <c r="H26" s="95" t="s">
        <v>196</v>
      </c>
      <c r="I26" s="1"/>
    </row>
    <row r="27" spans="1:9">
      <c r="A27" s="1" t="s">
        <v>202</v>
      </c>
      <c r="B27" s="1" t="s">
        <v>192</v>
      </c>
      <c r="C27" s="1" t="s">
        <v>144</v>
      </c>
      <c r="D27" s="98">
        <v>41821</v>
      </c>
      <c r="E27" s="1" t="s">
        <v>201</v>
      </c>
      <c r="F27" s="95" t="s">
        <v>194</v>
      </c>
      <c r="G27" s="95" t="s">
        <v>133</v>
      </c>
      <c r="H27" s="95" t="s">
        <v>196</v>
      </c>
      <c r="I27" s="1"/>
    </row>
    <row r="28" spans="1:9">
      <c r="A28" s="1" t="s">
        <v>202</v>
      </c>
      <c r="B28" s="1" t="s">
        <v>192</v>
      </c>
      <c r="C28" s="1" t="s">
        <v>146</v>
      </c>
      <c r="D28" s="98">
        <v>41821</v>
      </c>
      <c r="E28" s="1" t="s">
        <v>201</v>
      </c>
      <c r="F28" s="95" t="s">
        <v>194</v>
      </c>
      <c r="G28" s="95" t="s">
        <v>133</v>
      </c>
      <c r="H28" s="95" t="s">
        <v>196</v>
      </c>
      <c r="I28" s="1"/>
    </row>
    <row r="30" spans="1:9">
      <c r="A30" t="s">
        <v>203</v>
      </c>
    </row>
    <row r="32" spans="1:9">
      <c r="A32" t="s">
        <v>204</v>
      </c>
    </row>
    <row r="33" spans="1:1">
      <c r="A33" t="s">
        <v>207</v>
      </c>
    </row>
    <row r="34" spans="1:1">
      <c r="A34" t="s">
        <v>208</v>
      </c>
    </row>
    <row r="35" spans="1:1">
      <c r="A35" t="s">
        <v>205</v>
      </c>
    </row>
  </sheetData>
  <autoFilter ref="A6:J28"/>
  <mergeCells count="1">
    <mergeCell ref="G1:G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8" sqref="B8"/>
    </sheetView>
  </sheetViews>
  <sheetFormatPr baseColWidth="10" defaultColWidth="11.5" defaultRowHeight="14" x14ac:dyDescent="0"/>
  <cols>
    <col min="1" max="1" width="14.33203125" customWidth="1"/>
    <col min="2" max="2" width="17.5" style="11" customWidth="1"/>
    <col min="4" max="4" width="29.1640625" customWidth="1"/>
    <col min="6" max="6" width="15.5" customWidth="1"/>
  </cols>
  <sheetData>
    <row r="1" spans="1:5">
      <c r="A1" t="s">
        <v>54</v>
      </c>
    </row>
    <row r="3" spans="1:5">
      <c r="A3" t="s">
        <v>59</v>
      </c>
      <c r="B3" s="11" t="s">
        <v>61</v>
      </c>
      <c r="C3" s="13" t="s">
        <v>64</v>
      </c>
    </row>
    <row r="5" spans="1:5">
      <c r="A5" t="s">
        <v>36</v>
      </c>
      <c r="B5" s="11">
        <v>500000</v>
      </c>
      <c r="C5" s="12">
        <f>B5/B$10</f>
        <v>0.1300218670776051</v>
      </c>
    </row>
    <row r="6" spans="1:5">
      <c r="A6" t="s">
        <v>51</v>
      </c>
      <c r="B6" s="11">
        <v>450000</v>
      </c>
      <c r="C6" s="12">
        <f>B6/B$10</f>
        <v>0.1170196803698446</v>
      </c>
    </row>
    <row r="7" spans="1:5">
      <c r="A7" t="s">
        <v>52</v>
      </c>
      <c r="B7" s="11">
        <v>600000</v>
      </c>
      <c r="C7" s="12">
        <f>B7/B$10</f>
        <v>0.15602624049312613</v>
      </c>
    </row>
    <row r="8" spans="1:5">
      <c r="A8" t="s">
        <v>55</v>
      </c>
      <c r="B8" s="11">
        <v>350000</v>
      </c>
      <c r="C8" s="12">
        <f>B8/B$10</f>
        <v>9.1015306954323583E-2</v>
      </c>
      <c r="D8" t="s">
        <v>109</v>
      </c>
      <c r="E8" t="s">
        <v>209</v>
      </c>
    </row>
    <row r="9" spans="1:5">
      <c r="A9" t="s">
        <v>56</v>
      </c>
      <c r="B9" s="11">
        <f>D9-E9</f>
        <v>1945507</v>
      </c>
      <c r="C9" s="12">
        <f>B9/B$10</f>
        <v>0.50591690510510057</v>
      </c>
      <c r="D9" s="11">
        <v>2275507</v>
      </c>
      <c r="E9" s="46">
        <v>330000</v>
      </c>
    </row>
    <row r="10" spans="1:5">
      <c r="A10" t="s">
        <v>63</v>
      </c>
      <c r="B10" s="11">
        <f>SUM(B5:B9)</f>
        <v>3845507</v>
      </c>
    </row>
    <row r="11" spans="1:5">
      <c r="E11" t="s">
        <v>62</v>
      </c>
    </row>
    <row r="12" spans="1:5">
      <c r="A12" t="s">
        <v>57</v>
      </c>
      <c r="B12" s="11">
        <v>0</v>
      </c>
      <c r="C12" s="12">
        <f>B12/B$10</f>
        <v>0</v>
      </c>
      <c r="D12" t="s">
        <v>60</v>
      </c>
      <c r="E12" s="11">
        <v>150000</v>
      </c>
    </row>
    <row r="13" spans="1:5">
      <c r="A13" t="s">
        <v>58</v>
      </c>
      <c r="B13" s="11">
        <v>0</v>
      </c>
      <c r="C13" s="12">
        <f>B13/B$10</f>
        <v>0</v>
      </c>
      <c r="D13" t="s">
        <v>60</v>
      </c>
      <c r="E13" s="11">
        <v>150000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 Share Personnel 2014-20125</vt:lpstr>
      <vt:lpstr>Cost Share Offices&amp;Residence</vt:lpstr>
      <vt:lpstr>Cars 2014-2015</vt:lpstr>
      <vt:lpstr>Grants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2014-07-13T13:10:15Z</dcterms:created>
  <dcterms:modified xsi:type="dcterms:W3CDTF">2015-08-14T20:58:39Z</dcterms:modified>
</cp:coreProperties>
</file>