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autoCompressPictures="0"/>
  <bookViews>
    <workbookView xWindow="0" yWindow="-15" windowWidth="24240" windowHeight="13740"/>
  </bookViews>
  <sheets>
    <sheet name="EvAct Rev &amp; Exp - not final" sheetId="1" r:id="rId1"/>
    <sheet name="EA Unres Commit - guess" sheetId="5" r:id="rId2"/>
    <sheet name="DtW Unres Commit" sheetId="2" r:id="rId3"/>
    <sheet name="2014-2016 expenses" sheetId="12" r:id="rId4"/>
    <sheet name="2016 and 2017 budgets" sheetId="13" r:id="rId5"/>
    <sheet name="Expected vs. Actual spending" sheetId="14" r:id="rId6"/>
    <sheet name="Total room for more funding" sheetId="9" r:id="rId7"/>
    <sheet name="GiveWell's ranked funding gaps" sheetId="10" r:id="rId8"/>
  </sheets>
  <calcPr calcId="145621" concurrentCalc="0"/>
  <extLst>
    <ext xmlns:mx="http://schemas.microsoft.com/office/mac/excel/2008/main" uri="{7523E5D3-25F3-A5E0-1632-64F254C22452}">
      <mx:ArchID Flags="2"/>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6" i="2" l="1"/>
  <c r="C17" i="2"/>
  <c r="C18" i="2"/>
  <c r="C24" i="2"/>
  <c r="H36" i="14"/>
  <c r="H37" i="14"/>
  <c r="H35" i="14"/>
  <c r="H45" i="14"/>
  <c r="H46" i="14"/>
  <c r="H43" i="14"/>
  <c r="H41" i="14"/>
  <c r="H40" i="14"/>
  <c r="H39" i="14"/>
  <c r="H38" i="14"/>
  <c r="C4" i="10"/>
  <c r="C5" i="10"/>
  <c r="D7" i="1"/>
  <c r="C4" i="2"/>
  <c r="C26" i="2"/>
  <c r="C6" i="2"/>
  <c r="C7" i="2"/>
  <c r="C32" i="2"/>
  <c r="C33" i="2"/>
  <c r="C34" i="2"/>
  <c r="C36" i="2"/>
  <c r="C39" i="2"/>
  <c r="C41" i="2"/>
  <c r="D6" i="10"/>
  <c r="G5" i="9"/>
  <c r="C7" i="10"/>
  <c r="D7" i="10"/>
  <c r="D21" i="10"/>
  <c r="B21" i="10"/>
  <c r="C8" i="10"/>
  <c r="C9" i="10"/>
  <c r="C10" i="10"/>
  <c r="C11" i="10"/>
  <c r="C12" i="10"/>
  <c r="C13" i="10"/>
  <c r="D8" i="10"/>
  <c r="D9" i="10"/>
  <c r="D10" i="10"/>
  <c r="D11" i="10"/>
  <c r="D12" i="10"/>
  <c r="J15" i="12"/>
  <c r="K15" i="12"/>
  <c r="G41" i="14"/>
  <c r="D23" i="10"/>
  <c r="D24" i="10"/>
  <c r="D25" i="10"/>
  <c r="D26" i="10"/>
  <c r="D27" i="10"/>
  <c r="D13" i="10"/>
  <c r="D28" i="10"/>
  <c r="D22" i="10"/>
  <c r="C20" i="10"/>
  <c r="C21" i="10"/>
  <c r="C22" i="10"/>
  <c r="C23" i="10"/>
  <c r="C24" i="10"/>
  <c r="C25" i="10"/>
  <c r="C26" i="10"/>
  <c r="C27" i="10"/>
  <c r="C28" i="10"/>
  <c r="C19" i="10"/>
  <c r="E20" i="10"/>
  <c r="E21" i="10"/>
  <c r="E22" i="10"/>
  <c r="E23" i="10"/>
  <c r="E24" i="10"/>
  <c r="E25" i="10"/>
  <c r="E26" i="10"/>
  <c r="E27" i="10"/>
  <c r="B20" i="10"/>
  <c r="B22" i="10"/>
  <c r="B23" i="10"/>
  <c r="B24" i="10"/>
  <c r="B25" i="10"/>
  <c r="B26" i="10"/>
  <c r="B27" i="10"/>
  <c r="B28" i="10"/>
  <c r="E19" i="10"/>
  <c r="D20" i="10"/>
  <c r="D19" i="10"/>
  <c r="B19" i="10"/>
  <c r="T7" i="12"/>
  <c r="T6" i="12"/>
  <c r="T8" i="12"/>
  <c r="T9" i="12"/>
  <c r="T10" i="12"/>
  <c r="T11" i="12"/>
  <c r="T12" i="12"/>
  <c r="T13" i="12"/>
  <c r="U7" i="12"/>
  <c r="U8" i="12"/>
  <c r="U9" i="12"/>
  <c r="U10" i="12"/>
  <c r="U11" i="12"/>
  <c r="U12" i="12"/>
  <c r="U13" i="12"/>
  <c r="U6" i="12"/>
  <c r="R7" i="12"/>
  <c r="R6" i="12"/>
  <c r="R8" i="12"/>
  <c r="R9" i="12"/>
  <c r="R10" i="12"/>
  <c r="R11" i="12"/>
  <c r="R12" i="12"/>
  <c r="R13" i="12"/>
  <c r="S7" i="12"/>
  <c r="S8" i="12"/>
  <c r="S9" i="12"/>
  <c r="S10" i="12"/>
  <c r="S11" i="12"/>
  <c r="S12" i="12"/>
  <c r="S13" i="12"/>
  <c r="S6" i="12"/>
  <c r="L8" i="12"/>
  <c r="L17" i="12"/>
  <c r="L33" i="12"/>
  <c r="L42" i="12"/>
  <c r="P7" i="12"/>
  <c r="L7" i="12"/>
  <c r="L16" i="12"/>
  <c r="L32" i="12"/>
  <c r="L41" i="12"/>
  <c r="P6" i="12"/>
  <c r="L9" i="12"/>
  <c r="L18" i="12"/>
  <c r="L34" i="12"/>
  <c r="L43" i="12"/>
  <c r="P8" i="12"/>
  <c r="L10" i="12"/>
  <c r="L19" i="12"/>
  <c r="L35" i="12"/>
  <c r="L44" i="12"/>
  <c r="P9" i="12"/>
  <c r="L11" i="12"/>
  <c r="L20" i="12"/>
  <c r="L36" i="12"/>
  <c r="L45" i="12"/>
  <c r="P10" i="12"/>
  <c r="L12" i="12"/>
  <c r="L21" i="12"/>
  <c r="L37" i="12"/>
  <c r="L46" i="12"/>
  <c r="P11" i="12"/>
  <c r="L13" i="12"/>
  <c r="L22" i="12"/>
  <c r="L38" i="12"/>
  <c r="L47" i="12"/>
  <c r="P12" i="12"/>
  <c r="P13" i="12"/>
  <c r="Q7" i="12"/>
  <c r="Q8" i="12"/>
  <c r="Q9" i="12"/>
  <c r="Q10" i="12"/>
  <c r="Q11" i="12"/>
  <c r="Q12" i="12"/>
  <c r="Q13" i="12"/>
  <c r="Q6" i="12"/>
  <c r="G8" i="9"/>
  <c r="G9" i="9"/>
  <c r="G10" i="9"/>
  <c r="G11" i="9"/>
  <c r="G12" i="9"/>
  <c r="D9" i="9"/>
  <c r="D11" i="9"/>
  <c r="D12" i="9"/>
  <c r="H9" i="9"/>
  <c r="E9" i="9"/>
  <c r="H7" i="1"/>
  <c r="C4" i="5"/>
  <c r="C15" i="12"/>
  <c r="D15" i="12"/>
  <c r="E15" i="12"/>
  <c r="G15" i="12"/>
  <c r="H15" i="12"/>
  <c r="I15" i="12"/>
  <c r="B15" i="12"/>
  <c r="F15" i="12"/>
  <c r="L15" i="12"/>
  <c r="C40" i="12"/>
  <c r="D40" i="12"/>
  <c r="E40" i="12"/>
  <c r="F40" i="12"/>
  <c r="G40" i="12"/>
  <c r="H40" i="12"/>
  <c r="I40" i="12"/>
  <c r="J40" i="12"/>
  <c r="K40" i="12"/>
  <c r="B40" i="12"/>
  <c r="L40" i="12"/>
  <c r="C65" i="12"/>
  <c r="D65" i="12"/>
  <c r="E65" i="12"/>
  <c r="F65" i="12"/>
  <c r="G65" i="12"/>
  <c r="H65" i="12"/>
  <c r="I65" i="12"/>
  <c r="J65" i="12"/>
  <c r="K65" i="12"/>
  <c r="B65" i="12"/>
  <c r="L65" i="12"/>
  <c r="L81" i="12"/>
  <c r="B86" i="12"/>
  <c r="C12" i="5"/>
  <c r="C14" i="5"/>
  <c r="C5" i="5"/>
  <c r="C6" i="5"/>
  <c r="H8" i="1"/>
  <c r="D8" i="1"/>
  <c r="C30" i="5"/>
  <c r="C20" i="5"/>
  <c r="C21" i="5"/>
  <c r="C22" i="5"/>
  <c r="I8" i="1"/>
  <c r="C7" i="1"/>
  <c r="E7" i="1"/>
  <c r="F7" i="1"/>
  <c r="G7" i="1"/>
  <c r="I7" i="1"/>
  <c r="I6" i="1"/>
  <c r="I5" i="1"/>
  <c r="I4" i="1"/>
  <c r="I35" i="14"/>
  <c r="G36" i="14"/>
  <c r="I36" i="14"/>
  <c r="G37" i="14"/>
  <c r="I37" i="14"/>
  <c r="G38" i="14"/>
  <c r="I38" i="14"/>
  <c r="G39" i="14"/>
  <c r="I39" i="14"/>
  <c r="G40" i="14"/>
  <c r="I40" i="14"/>
  <c r="I41" i="14"/>
  <c r="G43" i="14"/>
  <c r="I43" i="14"/>
  <c r="G44" i="14"/>
  <c r="I44" i="14"/>
  <c r="I45" i="14"/>
  <c r="G46" i="14"/>
  <c r="I46" i="14"/>
  <c r="I42" i="14"/>
  <c r="I47" i="14"/>
  <c r="C38" i="14"/>
  <c r="C39" i="14"/>
  <c r="C41" i="14"/>
  <c r="C40" i="14"/>
  <c r="H19" i="14"/>
  <c r="G23" i="14"/>
  <c r="C36" i="14"/>
  <c r="C37" i="14"/>
  <c r="I18" i="14"/>
  <c r="G19" i="14"/>
  <c r="I19" i="14"/>
  <c r="I23" i="14"/>
  <c r="G24" i="14"/>
  <c r="I24" i="14"/>
  <c r="G26" i="14"/>
  <c r="I26" i="14"/>
  <c r="G27" i="14"/>
  <c r="I27" i="14"/>
  <c r="G29" i="14"/>
  <c r="I29" i="14"/>
  <c r="I25" i="14"/>
  <c r="I28" i="14"/>
  <c r="I30" i="14"/>
  <c r="G9" i="14"/>
  <c r="H9" i="14"/>
  <c r="C23" i="14"/>
  <c r="C19" i="14"/>
  <c r="C24" i="14"/>
  <c r="C18" i="14"/>
  <c r="C30" i="14"/>
  <c r="G8" i="14"/>
  <c r="I8" i="14"/>
  <c r="I9" i="14"/>
  <c r="G11" i="14"/>
  <c r="I11" i="14"/>
  <c r="I7" i="14"/>
  <c r="I10" i="14"/>
  <c r="I12" i="14"/>
  <c r="B88" i="12"/>
  <c r="B87" i="12"/>
  <c r="C81" i="12"/>
  <c r="C6" i="12"/>
  <c r="C25" i="12"/>
  <c r="C31" i="12"/>
  <c r="C50" i="12"/>
  <c r="C56" i="12"/>
  <c r="C74" i="12"/>
  <c r="C82" i="12"/>
  <c r="C83" i="12"/>
  <c r="D81" i="12"/>
  <c r="D6" i="12"/>
  <c r="D25" i="12"/>
  <c r="D31" i="12"/>
  <c r="D50" i="12"/>
  <c r="D56" i="12"/>
  <c r="D74" i="12"/>
  <c r="D82" i="12"/>
  <c r="D83" i="12"/>
  <c r="E81" i="12"/>
  <c r="E6" i="12"/>
  <c r="E25" i="12"/>
  <c r="E31" i="12"/>
  <c r="E50" i="12"/>
  <c r="E56" i="12"/>
  <c r="E74" i="12"/>
  <c r="E82" i="12"/>
  <c r="E83" i="12"/>
  <c r="F81" i="12"/>
  <c r="F31" i="12"/>
  <c r="F50" i="12"/>
  <c r="F56" i="12"/>
  <c r="F74" i="12"/>
  <c r="F6" i="12"/>
  <c r="F25" i="12"/>
  <c r="F82" i="12"/>
  <c r="F83" i="12"/>
  <c r="G81" i="12"/>
  <c r="G6" i="12"/>
  <c r="G25" i="12"/>
  <c r="G31" i="12"/>
  <c r="G50" i="12"/>
  <c r="G56" i="12"/>
  <c r="G74" i="12"/>
  <c r="G82" i="12"/>
  <c r="G83" i="12"/>
  <c r="H81" i="12"/>
  <c r="H6" i="12"/>
  <c r="H25" i="12"/>
  <c r="H31" i="12"/>
  <c r="H50" i="12"/>
  <c r="H56" i="12"/>
  <c r="H74" i="12"/>
  <c r="H82" i="12"/>
  <c r="H83" i="12"/>
  <c r="I81" i="12"/>
  <c r="I6" i="12"/>
  <c r="I25" i="12"/>
  <c r="I31" i="12"/>
  <c r="I50" i="12"/>
  <c r="I56" i="12"/>
  <c r="I74" i="12"/>
  <c r="I82" i="12"/>
  <c r="I83" i="12"/>
  <c r="J81" i="12"/>
  <c r="J6" i="12"/>
  <c r="J25" i="12"/>
  <c r="J31" i="12"/>
  <c r="J50" i="12"/>
  <c r="J56" i="12"/>
  <c r="J74" i="12"/>
  <c r="J82" i="12"/>
  <c r="J83" i="12"/>
  <c r="K81" i="12"/>
  <c r="K6" i="12"/>
  <c r="K25" i="12"/>
  <c r="K31" i="12"/>
  <c r="K50" i="12"/>
  <c r="K56" i="12"/>
  <c r="K74" i="12"/>
  <c r="K82" i="12"/>
  <c r="K83" i="12"/>
  <c r="B6" i="12"/>
  <c r="L6" i="12"/>
  <c r="L25" i="12"/>
  <c r="B31" i="12"/>
  <c r="L31" i="12"/>
  <c r="L50" i="12"/>
  <c r="B56" i="12"/>
  <c r="L56" i="12"/>
  <c r="L74" i="12"/>
  <c r="L82" i="12"/>
  <c r="L83" i="12"/>
  <c r="B81" i="12"/>
  <c r="B25" i="12"/>
  <c r="B50" i="12"/>
  <c r="B74" i="12"/>
  <c r="B82" i="12"/>
  <c r="B83" i="12"/>
  <c r="K16" i="13"/>
  <c r="K17" i="13"/>
  <c r="K19" i="13"/>
  <c r="J19" i="13"/>
  <c r="I19" i="13"/>
  <c r="H19" i="13"/>
  <c r="G19" i="13"/>
  <c r="F19" i="13"/>
  <c r="E19" i="13"/>
  <c r="D19" i="13"/>
  <c r="C19" i="13"/>
  <c r="B19" i="13"/>
  <c r="K7" i="13"/>
  <c r="K8" i="13"/>
  <c r="K10" i="13"/>
  <c r="J10" i="13"/>
  <c r="I10" i="13"/>
  <c r="H10" i="13"/>
  <c r="G10" i="13"/>
  <c r="F10" i="13"/>
  <c r="E10" i="13"/>
  <c r="D10" i="13"/>
  <c r="C10" i="13"/>
  <c r="B10" i="13"/>
  <c r="L72" i="12"/>
  <c r="L71" i="12"/>
  <c r="L70" i="12"/>
  <c r="L69" i="12"/>
  <c r="L68" i="12"/>
  <c r="L67" i="12"/>
  <c r="L66" i="12"/>
  <c r="L63" i="12"/>
  <c r="L62" i="12"/>
  <c r="L61" i="12"/>
  <c r="L60" i="12"/>
  <c r="L59" i="12"/>
  <c r="L58" i="12"/>
  <c r="L57" i="12"/>
  <c r="L48" i="12"/>
  <c r="L23" i="12"/>
</calcChain>
</file>

<file path=xl/comments1.xml><?xml version="1.0" encoding="utf-8"?>
<comments xmlns="http://schemas.openxmlformats.org/spreadsheetml/2006/main">
  <authors>
    <author>Author</author>
  </authors>
  <commentList>
    <comment ref="H9" authorId="0">
      <text>
        <r>
          <rPr>
            <sz val="10"/>
            <color indexed="81"/>
            <rFont val="Calibri"/>
          </rPr>
          <t xml:space="preserve">Deworm the World told us that it committed $430,000 to India for 2014 and 2014; so we subtract what it spent in 2014 from this amount.
</t>
        </r>
      </text>
    </comment>
    <comment ref="G11" authorId="0">
      <text>
        <r>
          <rPr>
            <sz val="10"/>
            <color indexed="81"/>
            <rFont val="Calibri"/>
          </rPr>
          <t xml:space="preserve">Note that this differs from our blog post detailing the spending (http://blog.givewell.org/2014/11/21/deworm-the-world-initiative-led-by-evidence-action-update/), which only indicated $151,000 was spent on overhead
</t>
        </r>
      </text>
    </comment>
    <comment ref="G25" authorId="0">
      <text>
        <r>
          <rPr>
            <sz val="10"/>
            <color indexed="81"/>
            <rFont val="Calibri"/>
          </rPr>
          <t xml:space="preserve">We are unable to tell what Deworm the World spent on staff because staff costs are not included separate from its program costs.
</t>
        </r>
      </text>
    </comment>
  </commentList>
</comments>
</file>

<file path=xl/sharedStrings.xml><?xml version="1.0" encoding="utf-8"?>
<sst xmlns="http://schemas.openxmlformats.org/spreadsheetml/2006/main" count="420" uniqueCount="222">
  <si>
    <t>Evidence Action January through July 31 2016 Revenue and Expenditures</t>
  </si>
  <si>
    <t>Beta</t>
  </si>
  <si>
    <t>Deworm the World Initiative</t>
  </si>
  <si>
    <t>Dispensers for Safe Water</t>
  </si>
  <si>
    <t>G-United</t>
  </si>
  <si>
    <t>No Lean Season</t>
  </si>
  <si>
    <t>Evidence Action</t>
  </si>
  <si>
    <t>Notes:</t>
  </si>
  <si>
    <t>Total</t>
  </si>
  <si>
    <t>Amount</t>
  </si>
  <si>
    <t>Source</t>
  </si>
  <si>
    <t>Current commitments - restricted funds</t>
  </si>
  <si>
    <t>Restricted, committed funds from cash on hand</t>
  </si>
  <si>
    <t>See detail below</t>
  </si>
  <si>
    <t>Unrestricted funds as yet uncommitted</t>
  </si>
  <si>
    <t>Program/Area</t>
  </si>
  <si>
    <t>Notes</t>
  </si>
  <si>
    <t>Personnel</t>
  </si>
  <si>
    <t>Salaries and related costs for global and country staff across programs in geographies listed below</t>
  </si>
  <si>
    <t>Research</t>
  </si>
  <si>
    <t xml:space="preserve">Anticipated and ongoing research, including cost share for TUMIKIA/TakeUp </t>
  </si>
  <si>
    <t>Vietnam add'l prev surveys</t>
  </si>
  <si>
    <t>Remainder of contract with Vietnam's National Institute of Malariology, Parasitology, Entemology</t>
  </si>
  <si>
    <t>Vietnam program support</t>
  </si>
  <si>
    <t>Cost share for 3 year integrated deworming program (through 2019)</t>
  </si>
  <si>
    <t>New geographies</t>
  </si>
  <si>
    <t>Travel and related expenses for exploration of new geographies</t>
  </si>
  <si>
    <t>Nigeria - Cross River</t>
  </si>
  <si>
    <t>Funding for four rounds of school-based deworming in Cross River state (through 2019)</t>
  </si>
  <si>
    <t>Nigeria - National</t>
  </si>
  <si>
    <t>To establish national presence in Nigeria, and act as base for expansion in add'l states</t>
  </si>
  <si>
    <t>Pakistan prevalence survey</t>
  </si>
  <si>
    <t>National level prevalence survey to be completed in 2016</t>
  </si>
  <si>
    <t>Pakistan start-up/exploration</t>
  </si>
  <si>
    <t>To develop demand and relationships with govt of Pakistan, laying groundwork for funding school-based deworming</t>
  </si>
  <si>
    <t>Kenya sustainability</t>
  </si>
  <si>
    <t>For analysis of government policy and financing opportunities and constraints</t>
  </si>
  <si>
    <t>Ethiopia</t>
  </si>
  <si>
    <t>Cost share for 5 year technical assistance program</t>
  </si>
  <si>
    <t>Hold for India expenses</t>
  </si>
  <si>
    <t>Funds reserved to cover India program costs incurred during organizational transition, exact amount TBD</t>
  </si>
  <si>
    <t>Reserves</t>
  </si>
  <si>
    <t>10% of annual program budget, per earlier reserves formula; note that this figure may change pending forthcoming organizational reserves policy</t>
  </si>
  <si>
    <t>Indirects</t>
  </si>
  <si>
    <t>Organizational indirects calculated as 15% of commitments. India expenses/reserves do not have indirects applied. All uncommitted funds subject to indirects upon commitment.</t>
  </si>
  <si>
    <t>Current balance as of 7/31/16</t>
  </si>
  <si>
    <t>From 2016Q2RevExp (prior tab)</t>
  </si>
  <si>
    <t>..</t>
  </si>
  <si>
    <t>Balance (C4-C5-C6)</t>
  </si>
  <si>
    <t>DTW funds transfer (planned)</t>
  </si>
  <si>
    <t>DSW funds transfer (planned)</t>
  </si>
  <si>
    <t>DSW funds transfer (actual)</t>
  </si>
  <si>
    <t>DSW receives loans to fund the up-front cost of dispenser installations. Once installed, dispensers generate carbon credits because they avert carbon emissions. DSW sells these credits on the carbon market and uses the funds to repay loans and cover future operating costs. As of July 31, 2016, DSW held $2.6 million in loans from external funding sources and in early August received an additional $0.7 million. These funding sources have not been included in this table and are the reason for DSW's negative closing balance.</t>
  </si>
  <si>
    <t>Evidence Action - 2017 Planned use of unrestricted funds as of 7/31/16</t>
  </si>
  <si>
    <t>Evidence Action - Commitments of unrestricted funds available as of 7/31/16</t>
  </si>
  <si>
    <t>Balance (C4-C5)</t>
  </si>
  <si>
    <t>Current commitments - DtW program-restricted funds*</t>
  </si>
  <si>
    <t>DtW program-restricted funds as yet uncommitted*</t>
  </si>
  <si>
    <t>Deworm the World - Commitments of DtW Program-Restricted funds as of 7/31/16*</t>
  </si>
  <si>
    <t>Deworm the World - Commitments of funds available as of 7/31/16</t>
  </si>
  <si>
    <t>Unaudited</t>
  </si>
  <si>
    <t>C4 is net of this transfer</t>
  </si>
  <si>
    <t>DTW planned program spending</t>
  </si>
  <si>
    <t>DSW planned program spending</t>
  </si>
  <si>
    <t>Beta planned program spending</t>
  </si>
  <si>
    <t>Total Planned</t>
  </si>
  <si>
    <t>Current planned commitments - unrestricted funds</t>
  </si>
  <si>
    <t>Program/Area*</t>
  </si>
  <si>
    <t>Program/Area**</t>
  </si>
  <si>
    <t>**Note:  Draft spending, as 2017 annual budget not complete or approved</t>
  </si>
  <si>
    <t>*Note: our earlier draft had a line item for general infrastructure improvements, but this spending had been double counted, so are cut from this version of the table</t>
  </si>
  <si>
    <t>Deworm the World Room for More Funding: 2017</t>
  </si>
  <si>
    <t>Conservative Estimate: Commitments</t>
  </si>
  <si>
    <t>Conservative Estimate: Expenses</t>
  </si>
  <si>
    <t>Ambitious Estimate: Commitments</t>
  </si>
  <si>
    <t>Ambitious Estimate: Expenses</t>
  </si>
  <si>
    <t>Notes on planned commitments</t>
  </si>
  <si>
    <t>India</t>
  </si>
  <si>
    <t>Nigeria</t>
  </si>
  <si>
    <t>Kenya</t>
  </si>
  <si>
    <t>50% of funding for Y6-Y10 @ $2.1m total annual program budget plus add'l funds for mapping/surveying</t>
  </si>
  <si>
    <t>Pakistan</t>
  </si>
  <si>
    <t>Conservative: 2 years funding for school-based deworming in 1 province (roll-out in sub-set of province); ambitious for multi-year funding for 2 provinces. Dependent upon survey results</t>
  </si>
  <si>
    <t>Indonesia</t>
  </si>
  <si>
    <t>As yet unknown - estimates are placeholders only</t>
  </si>
  <si>
    <t>add'l reserves</t>
  </si>
  <si>
    <t>To further build reserves at an add'l 2 months based on 2017 budget</t>
  </si>
  <si>
    <t>Total room for more funding 2017</t>
  </si>
  <si>
    <t>Total uncommitted funds as of 7/31/16</t>
  </si>
  <si>
    <t>Total need for add'l funds to commit</t>
  </si>
  <si>
    <t>Discount factor to assess need based on prior commitment planned vs actuals @ 60%</t>
  </si>
  <si>
    <t>Opportunity</t>
  </si>
  <si>
    <t>Cumulative funding need (millions USD)</t>
  </si>
  <si>
    <t>GiveWell's prioritization</t>
  </si>
  <si>
    <t>GiveWell added</t>
  </si>
  <si>
    <t>Execution level 1</t>
  </si>
  <si>
    <t>Execution level 2</t>
  </si>
  <si>
    <t>Execution level 3</t>
  </si>
  <si>
    <t>2016 (January - June)</t>
  </si>
  <si>
    <t>Global</t>
  </si>
  <si>
    <t>Tumikia</t>
  </si>
  <si>
    <t>Vietnam</t>
  </si>
  <si>
    <t>Regional Africa</t>
  </si>
  <si>
    <t>Regional Asia</t>
  </si>
  <si>
    <t>Restricted</t>
  </si>
  <si>
    <t>Policy</t>
  </si>
  <si>
    <t>Awareness</t>
  </si>
  <si>
    <t>Drugs</t>
  </si>
  <si>
    <t>Training</t>
  </si>
  <si>
    <t>Monitoring and Evaluation</t>
  </si>
  <si>
    <t>Prevalence Survey</t>
  </si>
  <si>
    <t>Program Management</t>
  </si>
  <si>
    <t>Unrestricted</t>
  </si>
  <si>
    <t>Exploratory</t>
  </si>
  <si>
    <t xml:space="preserve">Global </t>
  </si>
  <si>
    <t>TUMIKIA</t>
  </si>
  <si>
    <t xml:space="preserve">Total </t>
  </si>
  <si>
    <r>
      <t>2014</t>
    </r>
    <r>
      <rPr>
        <b/>
        <sz val="11"/>
        <color rgb="FFFF0000"/>
        <rFont val="Calibri"/>
        <family val="2"/>
        <scheme val="minor"/>
      </rPr>
      <t>*</t>
    </r>
  </si>
  <si>
    <r>
      <rPr>
        <sz val="11"/>
        <color rgb="FFFF0000"/>
        <rFont val="Calibri"/>
        <family val="2"/>
        <scheme val="minor"/>
      </rPr>
      <t>*</t>
    </r>
    <r>
      <rPr>
        <sz val="11"/>
        <rFont val="Calibri"/>
        <family val="2"/>
        <scheme val="minor"/>
      </rPr>
      <t>India's 2014</t>
    </r>
    <r>
      <rPr>
        <sz val="11"/>
        <color theme="1"/>
        <rFont val="Calibri"/>
        <family val="2"/>
        <scheme val="minor"/>
      </rPr>
      <t xml:space="preserve"> data was not originally recorded in the then financial systems with this level of detail.  As a result the figures provided for India, while directionally correct, contain several assumptions that may affect the amounts reported.  The data recording deficiencies and assumptions apply only to India's 2014 figures.</t>
    </r>
  </si>
  <si>
    <t>Deworm the World Initiative Cost Projection</t>
  </si>
  <si>
    <t>2016 (July - December)</t>
  </si>
  <si>
    <t>India*</t>
  </si>
  <si>
    <t>TakeUp</t>
  </si>
  <si>
    <t>*$217,000 in India restricted costs are budgeted for the second half of 2016 to cover work supported by USAID. We are currently working on developing an agreement that will allow these costs to be funded. Until we hold a signed agreement we acknowledge the possibility that this portion of our portfolio may require support from unrestricted funds.</t>
  </si>
  <si>
    <t xml:space="preserve">Global* </t>
  </si>
  <si>
    <t>Kenya*</t>
  </si>
  <si>
    <t>*$211,000 in global restricted costs and $942,000 in Kenya restricted costs are budgeted for July - December 2017 to cover work currently supported by CIFF. CIFF's funding ends in June 2017 and we are currently working to identify sources of funding to cover this portion of our portfolio.</t>
  </si>
  <si>
    <t>*$297,000 in global restricted costs and $995,000 in India restricted costs are budgeted for 2017 to cover work supported by USAID. We are currently working on developing an agreement that will allow these costs to be funded. Until we hold a signed agreement we acknowledge the possibility that this portion of our portfolio may require support from unrestricted funds.</t>
  </si>
  <si>
    <t>Total unrestricted funding Deworm the World raised 2014 giving season - July 2016</t>
  </si>
  <si>
    <t>% of unrestricted funding spent</t>
  </si>
  <si>
    <t>GiveWell added below : 2014 - Jul 2016</t>
  </si>
  <si>
    <t>% of unrestricted funding committed</t>
  </si>
  <si>
    <t>Description</t>
  </si>
  <si>
    <t>Unknown</t>
  </si>
  <si>
    <t>2014 unrestricted spending and commitments</t>
  </si>
  <si>
    <t>Spent</t>
  </si>
  <si>
    <t>Committed by late 2014</t>
  </si>
  <si>
    <t>Expansion to new countries</t>
  </si>
  <si>
    <t>Elimination research</t>
  </si>
  <si>
    <t xml:space="preserve">Overhead </t>
  </si>
  <si>
    <t>Light technical assistance in new regions</t>
  </si>
  <si>
    <t>Additional staff</t>
  </si>
  <si>
    <t>Late 2013: expectations for 2014</t>
  </si>
  <si>
    <t>Late 2014: expectations for 2015</t>
  </si>
  <si>
    <t>n/a</t>
  </si>
  <si>
    <t>http://blog.givewell.org/2014/11/21/deworm-the-world-initiative-led-by-evidence-action-update/</t>
  </si>
  <si>
    <t>We did not include a line item for "additional staff", although it's mentioned in the blog post, because staff costs are built into Deworm the World's spending categories.</t>
  </si>
  <si>
    <t>This is nearly $2.3 million, which is about how much GiveWell directed to Deworm the World 2013-2014</t>
  </si>
  <si>
    <t>Overhead</t>
  </si>
  <si>
    <t>Evaluations of integrated programs</t>
  </si>
  <si>
    <t>2015 unrestricted spending and commitments</t>
  </si>
  <si>
    <t>Committed by late 2015</t>
  </si>
  <si>
    <t>Grace Hollister, DtWI Director, email exchange with GiveWell, October 2015</t>
  </si>
  <si>
    <t>http://www.givewell.org/charities/deworm-world-initiative/November-2014-review#rfmf</t>
  </si>
  <si>
    <t>Late 2015: expectations for 2016</t>
  </si>
  <si>
    <t>Other sources and notes</t>
  </si>
  <si>
    <t>Note: this is only for unrestricted funding and was created by GiveWell. This spreadsheet required some judgment calls and there may be a number of inaccuracies.</t>
  </si>
  <si>
    <t>…</t>
  </si>
  <si>
    <t>Staff</t>
  </si>
  <si>
    <t>included in above</t>
  </si>
  <si>
    <t>Expansion to new countires - staff</t>
  </si>
  <si>
    <t>New country</t>
  </si>
  <si>
    <t>Note: there was a possibility that more than $6 million would be allocated to Pakistan</t>
  </si>
  <si>
    <t>Committed by late 2016</t>
  </si>
  <si>
    <t>2016 unrestricted spending and commitments (as of mid 2016)</t>
  </si>
  <si>
    <t>Expansion to new countires</t>
  </si>
  <si>
    <t>N/A</t>
  </si>
  <si>
    <t>http://www.givewell.org/international/top-charities/deworm-world-initiative/November-2015-review-updated-April-2016#GiveWell-s_prioritization_of_Deworm_the_World-s_funding_gaps</t>
  </si>
  <si>
    <t>Negotiations moved more slowly in Pakistan than expected</t>
  </si>
  <si>
    <t>Another funder is covering most costs of the Vietnam program</t>
  </si>
  <si>
    <t>Deworm the World did not make much progress in any new country in 2016</t>
  </si>
  <si>
    <t>Total additional cost (millions USD)</t>
  </si>
  <si>
    <t xml:space="preserve">Total additional cost </t>
  </si>
  <si>
    <t>Cumulative funding need</t>
  </si>
  <si>
    <t>Toal</t>
  </si>
  <si>
    <t>Total unres funding</t>
  </si>
  <si>
    <t>Total spend</t>
  </si>
  <si>
    <t>% unrestricted funding</t>
  </si>
  <si>
    <t>Totals</t>
  </si>
  <si>
    <t>Opening Balance 01/01/16</t>
  </si>
  <si>
    <t>Revenue Through July 31 2016</t>
  </si>
  <si>
    <t>Expenses through July 31 2016</t>
  </si>
  <si>
    <t>Closing Balance July 31 2016</t>
  </si>
  <si>
    <t>Amount uncommitted as of July 31 2016</t>
  </si>
  <si>
    <t xml:space="preserve">Note: All figures are unaudited and subject to change. </t>
  </si>
  <si>
    <t>*Before we called these DtW Unrestricted funds, but we think the label of DtW program-restricted funds is clearer</t>
  </si>
  <si>
    <t>Evidence Action - 2016 Planned Commitments of unrestricted funds as of 7/31/16</t>
  </si>
  <si>
    <t>Organizational development (actual)</t>
  </si>
  <si>
    <t>C4 is net of this investment cost</t>
  </si>
  <si>
    <t>Evidence Action - end 2016 Forecast position - Unrestricted</t>
  </si>
  <si>
    <t>Unrestricted Fundraising target, Aug-Dec 2016</t>
  </si>
  <si>
    <t>Projected general operating reserves contribution</t>
  </si>
  <si>
    <t>This assumes the board adopts a 6 month reserves policy in Q4</t>
  </si>
  <si>
    <t>projected unrestricted to allocate to 2017 budgets</t>
  </si>
  <si>
    <t>Organizational one off Investments</t>
  </si>
  <si>
    <t>Deworm the World unrestricted</t>
  </si>
  <si>
    <t>Expect to receive for 2017 from Evidence Action</t>
  </si>
  <si>
    <t>Expect to receive for 2017 from non-GiveWell donors (excluding Evidence Action)</t>
  </si>
  <si>
    <t>Total unrestricted funding for 2017</t>
  </si>
  <si>
    <t>Expansion into 2 (conservative) - 3 (ambitious) add'l states, plus supporting national level costs</t>
  </si>
  <si>
    <t>Expansion into 2 (conservative) - 4 (ambitious) add'l states, plus supporting national level costs (note: some commitments may take place during Q4 2016)</t>
  </si>
  <si>
    <t xml:space="preserve">Expansion to 2 new states in India for 3 years </t>
  </si>
  <si>
    <t>Expansion to 1 additional state in India for 3 years</t>
  </si>
  <si>
    <t>Deworm the World will have sufficient funds</t>
  </si>
  <si>
    <t>Expansion to 1 additional province in Pakistan</t>
  </si>
  <si>
    <t>Monitoring and evaluation</t>
  </si>
  <si>
    <t>Prevalence surveys</t>
  </si>
  <si>
    <t>Program management</t>
  </si>
  <si>
    <t>2015 and first half of 2016 spending</t>
  </si>
  <si>
    <t>Supporting 50% of the Kenya program and additional surveys for an additional 2 years (4 years total)</t>
  </si>
  <si>
    <t xml:space="preserve">Supporting 50% of the costs for 2 years of (a) continuing the national deworming program in Kenya and (b) additional prevalence surveys in Kenya </t>
  </si>
  <si>
    <t>Expansion to 1 province in Pakistan for 2 years</t>
  </si>
  <si>
    <t>Expansion to Indonesia</t>
  </si>
  <si>
    <t>Supporting 50% of the Kenya program and additional surveys for an additional year (5 years total)</t>
  </si>
  <si>
    <t>Expect to receive from GiveWell donors due to top charity designation</t>
  </si>
  <si>
    <t>GiveWell estimate</t>
  </si>
  <si>
    <t>To set aside for reserves</t>
  </si>
  <si>
    <t>Deworm the World unrestricted, after reserves</t>
  </si>
  <si>
    <t>Total additional expected funds</t>
  </si>
  <si>
    <t>Expansion to 3 new states in Nigeria for 3 years</t>
  </si>
  <si>
    <t>NOTE: THIS SHEET ONLY REFERS TO DEWORM THE WORLD FINANCES</t>
  </si>
  <si>
    <t>Note: this total removes one state from the original analysis due to a change in Deworm the World's plans. The budget for the removed state is from an unpublished source.</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</si>
</sst>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0.00_);_(&quot;$&quot;* \(#,##0.00\);_(&quot;$&quot;* &quot;-&quot;??_);_(@_)"/>
    <numFmt numFmtId="43" formatCode="_(* #,##0.00_);_(* \(#,##0.00\);_(* &quot;-&quot;??_);_(@_)"/>
    <numFmt numFmtId="164" formatCode="&quot;$&quot;#,##0;[Red]\-&quot;$&quot;#,##0"/>
    <numFmt numFmtId="165" formatCode="_-&quot;$&quot;* #,##0.00_-;\-&quot;$&quot;* #,##0.00_-;_-&quot;$&quot;* &quot;-&quot;??_-;_-@_-"/>
    <numFmt numFmtId="166" formatCode="_(&quot;$&quot;* #,##0_);_(&quot;$&quot;* \(#,##0\);_(&quot;$&quot;* &quot;-&quot;??_);_(@_)"/>
    <numFmt numFmtId="167" formatCode="_-&quot;$&quot;* #,##0_-;\-&quot;$&quot;* #,##0_-;_-&quot;$&quot;* &quot;-&quot;??_-;_-@_-"/>
    <numFmt numFmtId="168" formatCode="_-&quot;$&quot;* #,##0_-;\-&quot;$&quot;* #,##0_-;_-&quot;$&quot;* &quot;-&quot;?_-;_-@_-"/>
    <numFmt numFmtId="169" formatCode="_-&quot;$&quot;* #,##0.0_-;\-&quot;$&quot;* #,##0.0_-;_-&quot;$&quot;* &quot;-&quot;?_-;_-@_-"/>
    <numFmt numFmtId="170" formatCode="_(* #,##0.0_);_(* \(#,##0.0\);_(* &quot;-&quot;??_);_(@_)"/>
  </numFmts>
  <fonts count="26" x14ac:knownFonts="1">
    <font>
      <sz val="11"/>
      <color theme="1"/>
      <name val="Calibri"/>
      <family val="2"/>
      <scheme val="minor"/>
    </font>
    <font>
      <sz val="11"/>
      <color theme="1"/>
      <name val="Calibri"/>
      <family val="2"/>
      <scheme val="minor"/>
    </font>
    <font>
      <sz val="9"/>
      <color theme="1"/>
      <name val="Tahoma"/>
      <family val="2"/>
    </font>
    <font>
      <b/>
      <sz val="14"/>
      <color rgb="FFE8E5E2"/>
      <name val="Calibri"/>
      <family val="2"/>
      <scheme val="minor"/>
    </font>
    <font>
      <sz val="10"/>
      <color theme="1"/>
      <name val="Calibri"/>
      <family val="2"/>
      <scheme val="minor"/>
    </font>
    <font>
      <sz val="9"/>
      <color theme="1"/>
      <name val="Calibri"/>
      <family val="2"/>
      <scheme val="minor"/>
    </font>
    <font>
      <sz val="9"/>
      <name val="Calibri"/>
      <family val="2"/>
      <scheme val="minor"/>
    </font>
    <font>
      <b/>
      <sz val="9"/>
      <color theme="1"/>
      <name val="Calibri"/>
      <family val="2"/>
    </font>
    <font>
      <sz val="9"/>
      <color theme="1"/>
      <name val="Calibri"/>
      <family val="2"/>
    </font>
    <font>
      <sz val="8"/>
      <color theme="1"/>
      <name val="Tahoma"/>
      <family val="2"/>
    </font>
    <font>
      <b/>
      <sz val="9"/>
      <color theme="1"/>
      <name val="Tahoma"/>
      <family val="2"/>
    </font>
    <font>
      <sz val="9"/>
      <color theme="1"/>
      <name val="Arial"/>
      <family val="2"/>
    </font>
    <font>
      <b/>
      <sz val="9"/>
      <color theme="1"/>
      <name val="Arial"/>
      <family val="2"/>
    </font>
    <font>
      <sz val="11"/>
      <color rgb="FFFF0000"/>
      <name val="Calibri"/>
      <family val="2"/>
      <scheme val="minor"/>
    </font>
    <font>
      <sz val="9"/>
      <color rgb="FFFF0000"/>
      <name val="Calibri"/>
      <family val="2"/>
      <scheme val="minor"/>
    </font>
    <font>
      <b/>
      <sz val="11"/>
      <color theme="1"/>
      <name val="Calibri"/>
      <family val="2"/>
      <scheme val="minor"/>
    </font>
    <font>
      <i/>
      <sz val="11"/>
      <color theme="1"/>
      <name val="Calibri"/>
      <family val="2"/>
      <scheme val="minor"/>
    </font>
    <font>
      <sz val="11"/>
      <color rgb="FF000000"/>
      <name val="Calibri"/>
      <scheme val="minor"/>
    </font>
    <font>
      <u/>
      <sz val="11"/>
      <color theme="10"/>
      <name val="Calibri"/>
      <family val="2"/>
      <scheme val="minor"/>
    </font>
    <font>
      <u/>
      <sz val="11"/>
      <color theme="11"/>
      <name val="Calibri"/>
      <family val="2"/>
      <scheme val="minor"/>
    </font>
    <font>
      <b/>
      <sz val="8"/>
      <color theme="1"/>
      <name val="Tahoma"/>
      <family val="2"/>
    </font>
    <font>
      <b/>
      <sz val="11"/>
      <color rgb="FFFF0000"/>
      <name val="Calibri"/>
      <family val="2"/>
      <scheme val="minor"/>
    </font>
    <font>
      <sz val="11"/>
      <name val="Calibri"/>
      <family val="2"/>
      <scheme val="minor"/>
    </font>
    <font>
      <sz val="8"/>
      <color theme="1"/>
      <name val="Calibri"/>
      <family val="2"/>
      <scheme val="minor"/>
    </font>
    <font>
      <sz val="10"/>
      <color indexed="81"/>
      <name val="Calibri"/>
    </font>
    <font>
      <b/>
      <sz val="10"/>
      <color theme="1"/>
      <name val="Calibri"/>
      <scheme val="minor"/>
    </font>
  </fonts>
  <fills count="9">
    <fill>
      <patternFill patternType="none"/>
    </fill>
    <fill>
      <patternFill patternType="gray125"/>
    </fill>
    <fill>
      <patternFill patternType="solid">
        <fgColor theme="0"/>
        <bgColor indexed="64"/>
      </patternFill>
    </fill>
    <fill>
      <patternFill patternType="solid">
        <fgColor rgb="FF5E5F5F"/>
        <bgColor indexed="64"/>
      </patternFill>
    </fill>
    <fill>
      <patternFill patternType="solid">
        <fgColor rgb="FFCECCCD"/>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theme="0"/>
        <bgColor theme="4" tint="0.79998168889431442"/>
      </patternFill>
    </fill>
    <fill>
      <patternFill patternType="solid">
        <fgColor rgb="FFFFFF00"/>
        <bgColor indexed="64"/>
      </patternFill>
    </fill>
  </fills>
  <borders count="35">
    <border>
      <left/>
      <right/>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hair">
        <color auto="1"/>
      </right>
      <top style="medium">
        <color auto="1"/>
      </top>
      <bottom style="medium">
        <color auto="1"/>
      </bottom>
      <diagonal/>
    </border>
    <border>
      <left style="hair">
        <color auto="1"/>
      </left>
      <right style="hair">
        <color auto="1"/>
      </right>
      <top style="medium">
        <color auto="1"/>
      </top>
      <bottom style="medium">
        <color auto="1"/>
      </bottom>
      <diagonal/>
    </border>
    <border>
      <left style="medium">
        <color auto="1"/>
      </left>
      <right style="medium">
        <color auto="1"/>
      </right>
      <top style="medium">
        <color auto="1"/>
      </top>
      <bottom style="hair">
        <color auto="1"/>
      </bottom>
      <diagonal/>
    </border>
    <border>
      <left style="hair">
        <color auto="1"/>
      </left>
      <right style="hair">
        <color auto="1"/>
      </right>
      <top style="medium">
        <color auto="1"/>
      </top>
      <bottom style="hair">
        <color auto="1"/>
      </bottom>
      <diagonal/>
    </border>
    <border>
      <left style="medium">
        <color auto="1"/>
      </left>
      <right style="medium">
        <color auto="1"/>
      </right>
      <top style="hair">
        <color auto="1"/>
      </top>
      <bottom style="hair">
        <color auto="1"/>
      </bottom>
      <diagonal/>
    </border>
    <border>
      <left style="hair">
        <color auto="1"/>
      </left>
      <right style="hair">
        <color auto="1"/>
      </right>
      <top style="hair">
        <color auto="1"/>
      </top>
      <bottom style="hair">
        <color auto="1"/>
      </bottom>
      <diagonal/>
    </border>
    <border>
      <left style="medium">
        <color auto="1"/>
      </left>
      <right style="medium">
        <color auto="1"/>
      </right>
      <top/>
      <bottom style="double">
        <color auto="1"/>
      </bottom>
      <diagonal/>
    </border>
    <border>
      <left style="hair">
        <color auto="1"/>
      </left>
      <right style="hair">
        <color auto="1"/>
      </right>
      <top/>
      <bottom style="double">
        <color auto="1"/>
      </bottom>
      <diagonal/>
    </border>
    <border>
      <left style="medium">
        <color auto="1"/>
      </left>
      <right style="medium">
        <color auto="1"/>
      </right>
      <top/>
      <bottom style="medium">
        <color auto="1"/>
      </bottom>
      <diagonal/>
    </border>
    <border>
      <left style="hair">
        <color auto="1"/>
      </left>
      <right style="hair">
        <color auto="1"/>
      </right>
      <top/>
      <bottom style="medium">
        <color auto="1"/>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top/>
      <bottom style="medium">
        <color auto="1"/>
      </bottom>
      <diagonal/>
    </border>
    <border>
      <left style="medium">
        <color auto="1"/>
      </left>
      <right/>
      <top/>
      <bottom style="thin">
        <color auto="1"/>
      </bottom>
      <diagonal/>
    </border>
    <border>
      <left/>
      <right/>
      <top/>
      <bottom style="thin">
        <color auto="1"/>
      </bottom>
      <diagonal/>
    </border>
    <border>
      <left/>
      <right style="medium">
        <color auto="1"/>
      </right>
      <top/>
      <bottom style="thin">
        <color auto="1"/>
      </bottom>
      <diagonal/>
    </border>
    <border>
      <left/>
      <right/>
      <top/>
      <bottom style="dotted">
        <color auto="1"/>
      </bottom>
      <diagonal/>
    </border>
    <border>
      <left/>
      <right/>
      <top style="dotted">
        <color auto="1"/>
      </top>
      <bottom style="dotted">
        <color auto="1"/>
      </bottom>
      <diagonal/>
    </border>
    <border>
      <left style="thin">
        <color theme="4" tint="0.39994506668294322"/>
      </left>
      <right/>
      <top style="thin">
        <color theme="4" tint="0.39994506668294322"/>
      </top>
      <bottom style="thin">
        <color theme="4" tint="0.39994506668294322"/>
      </bottom>
      <diagonal/>
    </border>
    <border>
      <left/>
      <right/>
      <top style="thin">
        <color theme="4" tint="0.39994506668294322"/>
      </top>
      <bottom style="thin">
        <color theme="4" tint="0.39994506668294322"/>
      </bottom>
      <diagonal/>
    </border>
    <border>
      <left/>
      <right style="thin">
        <color theme="4" tint="0.39994506668294322"/>
      </right>
      <top style="thin">
        <color theme="4" tint="0.39994506668294322"/>
      </top>
      <bottom style="thin">
        <color theme="4" tint="0.39994506668294322"/>
      </bottom>
      <diagonal/>
    </border>
    <border>
      <left/>
      <right/>
      <top/>
      <bottom style="thin">
        <color theme="4" tint="0.39997558519241921"/>
      </bottom>
      <diagonal/>
    </border>
    <border>
      <left/>
      <right/>
      <top style="thin">
        <color auto="1"/>
      </top>
      <bottom style="double">
        <color auto="1"/>
      </bottom>
      <diagonal/>
    </border>
    <border>
      <left/>
      <right/>
      <top style="dotted">
        <color auto="1"/>
      </top>
      <bottom/>
      <diagonal/>
    </border>
    <border>
      <left/>
      <right/>
      <top style="thin">
        <color auto="1"/>
      </top>
      <bottom/>
      <diagonal/>
    </border>
  </borders>
  <cellStyleXfs count="46">
    <xf numFmtId="0" fontId="0" fillId="0" borderId="0"/>
    <xf numFmtId="44" fontId="1" fillId="0" borderId="0" applyFont="0" applyFill="0" applyBorder="0" applyAlignment="0" applyProtection="0"/>
    <xf numFmtId="0" fontId="9" fillId="0" borderId="0"/>
    <xf numFmtId="44" fontId="9"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44" fontId="1" fillId="0" borderId="0" applyFon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9" fontId="1" fillId="0" borderId="0" applyFon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cellStyleXfs>
  <cellXfs count="144">
    <xf numFmtId="0" fontId="0" fillId="0" borderId="0" xfId="0"/>
    <xf numFmtId="0" fontId="2" fillId="2" borderId="0" xfId="0" applyFont="1" applyFill="1"/>
    <xf numFmtId="0" fontId="4"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5" fillId="2" borderId="7" xfId="0" applyFont="1" applyFill="1" applyBorder="1" applyAlignment="1">
      <alignment wrapText="1"/>
    </xf>
    <xf numFmtId="166" fontId="5" fillId="2" borderId="8" xfId="0" applyNumberFormat="1" applyFont="1" applyFill="1" applyBorder="1" applyAlignment="1">
      <alignment horizontal="left"/>
    </xf>
    <xf numFmtId="166" fontId="6" fillId="2" borderId="9" xfId="0" applyNumberFormat="1" applyFont="1" applyFill="1" applyBorder="1" applyAlignment="1">
      <alignment horizontal="left"/>
    </xf>
    <xf numFmtId="0" fontId="5" fillId="2" borderId="9" xfId="0" applyFont="1" applyFill="1" applyBorder="1" applyAlignment="1">
      <alignment wrapText="1"/>
    </xf>
    <xf numFmtId="166" fontId="5" fillId="2" borderId="10" xfId="0" applyNumberFormat="1" applyFont="1" applyFill="1" applyBorder="1" applyAlignment="1">
      <alignment horizontal="left"/>
    </xf>
    <xf numFmtId="0" fontId="5" fillId="2" borderId="11" xfId="0" applyFont="1" applyFill="1" applyBorder="1" applyAlignment="1">
      <alignment wrapText="1"/>
    </xf>
    <xf numFmtId="166" fontId="5" fillId="2" borderId="12" xfId="0" applyNumberFormat="1" applyFont="1" applyFill="1" applyBorder="1" applyAlignment="1">
      <alignment horizontal="left"/>
    </xf>
    <xf numFmtId="166" fontId="6" fillId="2" borderId="11" xfId="0" applyNumberFormat="1" applyFont="1" applyFill="1" applyBorder="1" applyAlignment="1">
      <alignment horizontal="left"/>
    </xf>
    <xf numFmtId="0" fontId="5" fillId="2" borderId="13" xfId="0" applyFont="1" applyFill="1" applyBorder="1" applyAlignment="1">
      <alignment wrapText="1"/>
    </xf>
    <xf numFmtId="166" fontId="5" fillId="2" borderId="14" xfId="0" applyNumberFormat="1" applyFont="1" applyFill="1" applyBorder="1" applyAlignment="1">
      <alignment horizontal="left"/>
    </xf>
    <xf numFmtId="166" fontId="6" fillId="2" borderId="13" xfId="0" applyNumberFormat="1" applyFont="1" applyFill="1" applyBorder="1" applyAlignment="1">
      <alignment horizontal="left"/>
    </xf>
    <xf numFmtId="166" fontId="2" fillId="2" borderId="0" xfId="0" applyNumberFormat="1" applyFont="1" applyFill="1"/>
    <xf numFmtId="0" fontId="0" fillId="2" borderId="0" xfId="0" applyFill="1" applyBorder="1"/>
    <xf numFmtId="0" fontId="9" fillId="0" borderId="0" xfId="2"/>
    <xf numFmtId="0" fontId="10" fillId="6" borderId="15" xfId="2" applyFont="1" applyFill="1" applyBorder="1" applyAlignment="1">
      <alignment horizontal="left"/>
    </xf>
    <xf numFmtId="0" fontId="10" fillId="6" borderId="0" xfId="2" applyFont="1" applyFill="1" applyBorder="1" applyAlignment="1">
      <alignment horizontal="left"/>
    </xf>
    <xf numFmtId="0" fontId="10" fillId="6" borderId="16" xfId="2" applyFont="1" applyFill="1" applyBorder="1" applyAlignment="1">
      <alignment horizontal="left"/>
    </xf>
    <xf numFmtId="0" fontId="2" fillId="0" borderId="15" xfId="2" applyFont="1" applyBorder="1"/>
    <xf numFmtId="166" fontId="2" fillId="0" borderId="0" xfId="3" applyNumberFormat="1" applyFont="1" applyBorder="1"/>
    <xf numFmtId="0" fontId="9" fillId="0" borderId="16" xfId="2" applyBorder="1"/>
    <xf numFmtId="0" fontId="2" fillId="0" borderId="17" xfId="2" applyFont="1" applyBorder="1"/>
    <xf numFmtId="166" fontId="2" fillId="0" borderId="22" xfId="3" applyNumberFormat="1" applyFont="1" applyBorder="1"/>
    <xf numFmtId="0" fontId="9" fillId="0" borderId="18" xfId="2" applyBorder="1"/>
    <xf numFmtId="166" fontId="9" fillId="0" borderId="0" xfId="2" applyNumberFormat="1"/>
    <xf numFmtId="0" fontId="10" fillId="6" borderId="23" xfId="2" applyFont="1" applyFill="1" applyBorder="1"/>
    <xf numFmtId="0" fontId="10" fillId="6" borderId="24" xfId="2" applyFont="1" applyFill="1" applyBorder="1"/>
    <xf numFmtId="0" fontId="10" fillId="6" borderId="25" xfId="2" applyFont="1" applyFill="1" applyBorder="1"/>
    <xf numFmtId="0" fontId="11" fillId="0" borderId="15" xfId="2" applyFont="1" applyBorder="1" applyAlignment="1">
      <alignment wrapText="1"/>
    </xf>
    <xf numFmtId="0" fontId="2" fillId="0" borderId="16" xfId="2" applyFont="1" applyBorder="1" applyAlignment="1">
      <alignment wrapText="1"/>
    </xf>
    <xf numFmtId="0" fontId="11" fillId="0" borderId="0" xfId="2" applyFont="1" applyBorder="1" applyAlignment="1">
      <alignment wrapText="1"/>
    </xf>
    <xf numFmtId="0" fontId="2" fillId="0" borderId="16" xfId="2" applyFont="1" applyBorder="1"/>
    <xf numFmtId="0" fontId="12" fillId="5" borderId="17" xfId="2" applyFont="1" applyFill="1" applyBorder="1" applyAlignment="1">
      <alignment wrapText="1"/>
    </xf>
    <xf numFmtId="164" fontId="12" fillId="5" borderId="22" xfId="2" applyNumberFormat="1" applyFont="1" applyFill="1" applyBorder="1" applyAlignment="1">
      <alignment horizontal="right" wrapText="1"/>
    </xf>
    <xf numFmtId="0" fontId="2" fillId="5" borderId="18" xfId="2" applyFont="1" applyFill="1" applyBorder="1"/>
    <xf numFmtId="164" fontId="11" fillId="0" borderId="0" xfId="2" applyNumberFormat="1" applyFont="1" applyFill="1" applyBorder="1" applyAlignment="1">
      <alignment horizontal="right" wrapText="1"/>
    </xf>
    <xf numFmtId="0" fontId="13" fillId="2" borderId="0" xfId="0" applyFont="1" applyFill="1"/>
    <xf numFmtId="166" fontId="2" fillId="0" borderId="0" xfId="3" applyNumberFormat="1" applyFont="1" applyFill="1" applyBorder="1"/>
    <xf numFmtId="0" fontId="0" fillId="2" borderId="0" xfId="0" applyFill="1"/>
    <xf numFmtId="0" fontId="8" fillId="2" borderId="26" xfId="0" applyFont="1" applyFill="1" applyBorder="1"/>
    <xf numFmtId="0" fontId="8" fillId="2" borderId="27" xfId="0" applyFont="1" applyFill="1" applyBorder="1"/>
    <xf numFmtId="0" fontId="8" fillId="2" borderId="27" xfId="0" applyFont="1" applyFill="1" applyBorder="1" applyAlignment="1">
      <alignment horizontal="left" wrapText="1"/>
    </xf>
    <xf numFmtId="0" fontId="7" fillId="2" borderId="26" xfId="0" applyFont="1" applyFill="1" applyBorder="1"/>
    <xf numFmtId="0" fontId="7" fillId="2" borderId="0" xfId="0" applyFont="1" applyFill="1" applyBorder="1"/>
    <xf numFmtId="166" fontId="14" fillId="2" borderId="14" xfId="0" applyNumberFormat="1" applyFont="1" applyFill="1" applyBorder="1" applyAlignment="1">
      <alignment horizontal="left"/>
    </xf>
    <xf numFmtId="166" fontId="14" fillId="2" borderId="8" xfId="0" applyNumberFormat="1" applyFont="1" applyFill="1" applyBorder="1" applyAlignment="1">
      <alignment horizontal="left"/>
    </xf>
    <xf numFmtId="166" fontId="0" fillId="2" borderId="0" xfId="0" applyNumberFormat="1" applyFill="1"/>
    <xf numFmtId="0" fontId="0" fillId="0" borderId="0" xfId="0" applyFill="1"/>
    <xf numFmtId="0" fontId="10" fillId="0" borderId="0" xfId="2" applyFont="1" applyFill="1" applyBorder="1"/>
    <xf numFmtId="0" fontId="9" fillId="0" borderId="0" xfId="2" applyFill="1"/>
    <xf numFmtId="0" fontId="8" fillId="0" borderId="26" xfId="0" applyFont="1" applyFill="1" applyBorder="1"/>
    <xf numFmtId="0" fontId="8" fillId="0" borderId="27" xfId="0" applyFont="1" applyFill="1" applyBorder="1"/>
    <xf numFmtId="0" fontId="6" fillId="2" borderId="20" xfId="0" applyFont="1" applyFill="1" applyBorder="1"/>
    <xf numFmtId="0" fontId="5" fillId="0" borderId="0" xfId="0" applyFont="1" applyFill="1" applyBorder="1"/>
    <xf numFmtId="167" fontId="0" fillId="0" borderId="0" xfId="5" applyNumberFormat="1" applyFont="1"/>
    <xf numFmtId="0" fontId="15" fillId="0" borderId="0" xfId="0" applyFont="1"/>
    <xf numFmtId="0" fontId="15" fillId="0" borderId="24" xfId="0" applyFont="1" applyBorder="1" applyAlignment="1">
      <alignment horizontal="center" wrapText="1"/>
    </xf>
    <xf numFmtId="0" fontId="15" fillId="0" borderId="24" xfId="0" applyFont="1" applyBorder="1" applyAlignment="1">
      <alignment horizontal="left"/>
    </xf>
    <xf numFmtId="0" fontId="0" fillId="0" borderId="24" xfId="0" applyBorder="1"/>
    <xf numFmtId="167" fontId="15" fillId="0" borderId="0" xfId="5" applyNumberFormat="1" applyFont="1"/>
    <xf numFmtId="0" fontId="16" fillId="0" borderId="0" xfId="0" applyFont="1"/>
    <xf numFmtId="167" fontId="16" fillId="0" borderId="0" xfId="5" applyNumberFormat="1" applyFont="1"/>
    <xf numFmtId="0" fontId="0" fillId="0" borderId="0" xfId="0" applyAlignment="1">
      <alignment wrapText="1"/>
    </xf>
    <xf numFmtId="168" fontId="0" fillId="0" borderId="0" xfId="0" applyNumberFormat="1"/>
    <xf numFmtId="169" fontId="0" fillId="0" borderId="0" xfId="0" applyNumberFormat="1"/>
    <xf numFmtId="0" fontId="15" fillId="0" borderId="0" xfId="0" applyFont="1" applyAlignment="1">
      <alignment wrapText="1"/>
    </xf>
    <xf numFmtId="0" fontId="17" fillId="0" borderId="0" xfId="0" applyFont="1" applyAlignment="1">
      <alignment wrapText="1"/>
    </xf>
    <xf numFmtId="166" fontId="15" fillId="0" borderId="0" xfId="1" applyNumberFormat="1" applyFont="1" applyAlignment="1">
      <alignment wrapText="1"/>
    </xf>
    <xf numFmtId="166" fontId="0" fillId="0" borderId="0" xfId="1" applyNumberFormat="1" applyFont="1"/>
    <xf numFmtId="166" fontId="0" fillId="0" borderId="0" xfId="0" applyNumberFormat="1"/>
    <xf numFmtId="166" fontId="15" fillId="0" borderId="0" xfId="1" applyNumberFormat="1" applyFont="1"/>
    <xf numFmtId="0" fontId="0" fillId="2" borderId="0" xfId="0" applyFill="1" applyAlignment="1">
      <alignment horizontal="center"/>
    </xf>
    <xf numFmtId="0" fontId="9" fillId="2" borderId="0" xfId="0" applyFont="1" applyFill="1"/>
    <xf numFmtId="0" fontId="20" fillId="7" borderId="31" xfId="0" applyFont="1" applyFill="1" applyBorder="1" applyAlignment="1">
      <alignment horizontal="center"/>
    </xf>
    <xf numFmtId="166" fontId="20" fillId="2" borderId="0" xfId="1" applyNumberFormat="1" applyFont="1" applyFill="1" applyAlignment="1">
      <alignment horizontal="left" indent="1"/>
    </xf>
    <xf numFmtId="166" fontId="20" fillId="2" borderId="0" xfId="1" applyNumberFormat="1" applyFont="1" applyFill="1"/>
    <xf numFmtId="0" fontId="15" fillId="2" borderId="0" xfId="0" applyFont="1" applyFill="1"/>
    <xf numFmtId="166" fontId="9" fillId="2" borderId="0" xfId="1" applyNumberFormat="1" applyFont="1" applyFill="1" applyAlignment="1">
      <alignment horizontal="left" indent="2"/>
    </xf>
    <xf numFmtId="166" fontId="9" fillId="2" borderId="0" xfId="1" applyNumberFormat="1" applyFont="1" applyFill="1"/>
    <xf numFmtId="0" fontId="0" fillId="2" borderId="0" xfId="0" applyFill="1" applyAlignment="1">
      <alignment horizontal="left" indent="2"/>
    </xf>
    <xf numFmtId="166" fontId="20" fillId="2" borderId="0" xfId="1" applyNumberFormat="1" applyFont="1" applyFill="1" applyAlignment="1">
      <alignment horizontal="left" indent="2"/>
    </xf>
    <xf numFmtId="0" fontId="0" fillId="2" borderId="0" xfId="0" applyFill="1" applyAlignment="1">
      <alignment horizontal="left"/>
    </xf>
    <xf numFmtId="0" fontId="0" fillId="2" borderId="0" xfId="0" applyFill="1" applyAlignment="1">
      <alignment wrapText="1"/>
    </xf>
    <xf numFmtId="166" fontId="0" fillId="0" borderId="0" xfId="0" applyNumberFormat="1" applyFill="1"/>
    <xf numFmtId="9" fontId="0" fillId="2" borderId="0" xfId="9" applyFont="1" applyFill="1"/>
    <xf numFmtId="0" fontId="0" fillId="0" borderId="0" xfId="0" applyFont="1" applyFill="1"/>
    <xf numFmtId="44" fontId="0" fillId="0" borderId="0" xfId="1" applyFont="1"/>
    <xf numFmtId="0" fontId="0" fillId="0" borderId="0" xfId="0" applyFont="1"/>
    <xf numFmtId="166" fontId="0" fillId="0" borderId="32" xfId="0" applyNumberFormat="1" applyBorder="1"/>
    <xf numFmtId="166" fontId="0" fillId="0" borderId="0" xfId="0" applyNumberFormat="1" applyAlignment="1">
      <alignment wrapText="1"/>
    </xf>
    <xf numFmtId="170" fontId="0" fillId="0" borderId="0" xfId="4" applyNumberFormat="1" applyFont="1"/>
    <xf numFmtId="170" fontId="0" fillId="0" borderId="0" xfId="4" applyNumberFormat="1" applyFont="1" applyAlignment="1">
      <alignment wrapText="1"/>
    </xf>
    <xf numFmtId="0" fontId="15" fillId="8" borderId="0" xfId="0" applyFont="1" applyFill="1"/>
    <xf numFmtId="0" fontId="0" fillId="8" borderId="0" xfId="0" applyFill="1"/>
    <xf numFmtId="166" fontId="5" fillId="0" borderId="8" xfId="0" applyNumberFormat="1" applyFont="1" applyFill="1" applyBorder="1" applyAlignment="1">
      <alignment horizontal="left"/>
    </xf>
    <xf numFmtId="166" fontId="5" fillId="0" borderId="10" xfId="0" applyNumberFormat="1" applyFont="1" applyFill="1" applyBorder="1" applyAlignment="1">
      <alignment horizontal="left"/>
    </xf>
    <xf numFmtId="166" fontId="5" fillId="0" borderId="14" xfId="0" applyNumberFormat="1" applyFont="1" applyFill="1" applyBorder="1" applyAlignment="1">
      <alignment horizontal="left"/>
    </xf>
    <xf numFmtId="0" fontId="2" fillId="2" borderId="0" xfId="0" applyFont="1" applyFill="1" applyBorder="1"/>
    <xf numFmtId="166" fontId="2" fillId="2" borderId="0" xfId="0" applyNumberFormat="1" applyFont="1" applyFill="1" applyBorder="1"/>
    <xf numFmtId="166" fontId="5" fillId="2" borderId="0" xfId="0" applyNumberFormat="1" applyFont="1" applyFill="1" applyBorder="1" applyAlignment="1">
      <alignment horizontal="left"/>
    </xf>
    <xf numFmtId="10" fontId="2" fillId="2" borderId="0" xfId="9" applyNumberFormat="1" applyFont="1" applyFill="1" applyBorder="1"/>
    <xf numFmtId="0" fontId="8" fillId="2" borderId="0" xfId="0" applyFont="1" applyFill="1" applyAlignment="1">
      <alignment horizontal="left" wrapText="1"/>
    </xf>
    <xf numFmtId="0" fontId="12" fillId="0" borderId="0" xfId="2" applyFont="1" applyFill="1" applyBorder="1" applyAlignment="1">
      <alignment wrapText="1"/>
    </xf>
    <xf numFmtId="164" fontId="12" fillId="0" borderId="0" xfId="2" applyNumberFormat="1" applyFont="1" applyFill="1" applyBorder="1" applyAlignment="1">
      <alignment horizontal="right" wrapText="1"/>
    </xf>
    <xf numFmtId="0" fontId="2" fillId="0" borderId="0" xfId="2" applyFont="1" applyFill="1" applyBorder="1"/>
    <xf numFmtId="0" fontId="9" fillId="0" borderId="0" xfId="2" applyFill="1" applyBorder="1"/>
    <xf numFmtId="166" fontId="2" fillId="0" borderId="22" xfId="3" applyNumberFormat="1" applyFont="1" applyFill="1" applyBorder="1"/>
    <xf numFmtId="0" fontId="2" fillId="0" borderId="15" xfId="2" applyFont="1" applyFill="1" applyBorder="1"/>
    <xf numFmtId="0" fontId="9" fillId="5" borderId="18" xfId="2" applyFont="1" applyFill="1" applyBorder="1"/>
    <xf numFmtId="0" fontId="9" fillId="0" borderId="0" xfId="2" applyFont="1" applyFill="1" applyBorder="1"/>
    <xf numFmtId="0" fontId="0" fillId="0" borderId="0" xfId="0" applyFill="1" applyBorder="1"/>
    <xf numFmtId="0" fontId="4" fillId="0" borderId="0" xfId="2" applyFont="1" applyFill="1" applyBorder="1"/>
    <xf numFmtId="0" fontId="4" fillId="0" borderId="0" xfId="2" applyFont="1"/>
    <xf numFmtId="0" fontId="25" fillId="0" borderId="0" xfId="2" applyFont="1" applyFill="1" applyBorder="1"/>
    <xf numFmtId="166" fontId="4" fillId="0" borderId="0" xfId="2" applyNumberFormat="1" applyFont="1" applyFill="1" applyBorder="1"/>
    <xf numFmtId="166" fontId="4" fillId="0" borderId="0" xfId="1" applyNumberFormat="1" applyFont="1" applyFill="1" applyBorder="1"/>
    <xf numFmtId="166" fontId="25" fillId="0" borderId="0" xfId="2" applyNumberFormat="1" applyFont="1" applyFill="1" applyBorder="1"/>
    <xf numFmtId="166" fontId="0" fillId="2" borderId="0" xfId="0" applyNumberFormat="1" applyFont="1" applyFill="1"/>
    <xf numFmtId="9" fontId="1" fillId="2" borderId="0" xfId="9" applyFont="1" applyFill="1"/>
    <xf numFmtId="0" fontId="4" fillId="0" borderId="34" xfId="2" applyFont="1" applyFill="1" applyBorder="1"/>
    <xf numFmtId="166" fontId="4" fillId="0" borderId="34" xfId="1" applyNumberFormat="1" applyFont="1" applyFill="1" applyBorder="1"/>
    <xf numFmtId="166" fontId="0" fillId="0" borderId="0" xfId="1" applyNumberFormat="1" applyFont="1" applyFill="1"/>
    <xf numFmtId="0" fontId="3" fillId="3" borderId="1" xfId="0" applyFont="1" applyFill="1" applyBorder="1" applyAlignment="1">
      <alignment horizontal="center"/>
    </xf>
    <xf numFmtId="0" fontId="3" fillId="3" borderId="2" xfId="0" applyFont="1" applyFill="1" applyBorder="1" applyAlignment="1">
      <alignment horizontal="center"/>
    </xf>
    <xf numFmtId="0" fontId="3" fillId="3" borderId="3" xfId="0" applyFont="1" applyFill="1" applyBorder="1" applyAlignment="1">
      <alignment horizontal="center"/>
    </xf>
    <xf numFmtId="0" fontId="8" fillId="2" borderId="33" xfId="0" applyFont="1" applyFill="1" applyBorder="1" applyAlignment="1">
      <alignment horizontal="left" vertical="top" wrapText="1"/>
    </xf>
    <xf numFmtId="0" fontId="8" fillId="2" borderId="0" xfId="0" applyFont="1" applyFill="1" applyAlignment="1">
      <alignment horizontal="left" vertical="top" wrapText="1"/>
    </xf>
    <xf numFmtId="0" fontId="10" fillId="5" borderId="19" xfId="2" applyFont="1" applyFill="1" applyBorder="1" applyAlignment="1">
      <alignment horizontal="center"/>
    </xf>
    <xf numFmtId="0" fontId="10" fillId="5" borderId="20" xfId="2" applyFont="1" applyFill="1" applyBorder="1" applyAlignment="1">
      <alignment horizontal="center"/>
    </xf>
    <xf numFmtId="0" fontId="10" fillId="5" borderId="21" xfId="2" applyFont="1" applyFill="1" applyBorder="1" applyAlignment="1">
      <alignment horizontal="center"/>
    </xf>
    <xf numFmtId="0" fontId="15" fillId="0" borderId="28" xfId="0" applyFont="1" applyFill="1" applyBorder="1" applyAlignment="1">
      <alignment horizontal="center"/>
    </xf>
    <xf numFmtId="0" fontId="15" fillId="0" borderId="29" xfId="0" applyFont="1" applyFill="1" applyBorder="1" applyAlignment="1">
      <alignment horizontal="center"/>
    </xf>
    <xf numFmtId="0" fontId="15" fillId="0" borderId="30" xfId="0" applyFont="1" applyFill="1" applyBorder="1" applyAlignment="1">
      <alignment horizontal="center"/>
    </xf>
    <xf numFmtId="0" fontId="0" fillId="2" borderId="0" xfId="0" applyFill="1" applyAlignment="1">
      <alignment horizontal="left" wrapText="1"/>
    </xf>
    <xf numFmtId="0" fontId="23" fillId="2" borderId="0" xfId="0" applyFont="1" applyFill="1" applyAlignment="1">
      <alignment horizontal="left" wrapText="1"/>
    </xf>
    <xf numFmtId="0" fontId="15" fillId="2" borderId="0" xfId="0" applyFont="1" applyFill="1" applyAlignment="1">
      <alignment horizontal="center"/>
    </xf>
    <xf numFmtId="49" fontId="9" fillId="2" borderId="0" xfId="1" applyNumberFormat="1" applyFont="1" applyFill="1" applyAlignment="1">
      <alignment horizontal="left" wrapText="1"/>
    </xf>
    <xf numFmtId="0" fontId="15" fillId="0" borderId="0" xfId="0" applyFont="1" applyAlignment="1">
      <alignment horizontal="center"/>
    </xf>
    <xf numFmtId="0" fontId="15" fillId="0" borderId="0" xfId="0" applyFont="1" applyAlignment="1">
      <alignment horizontal="center" wrapText="1"/>
    </xf>
  </cellXfs>
  <cellStyles count="46">
    <cellStyle name="Comma" xfId="4" builtinId="3"/>
    <cellStyle name="Currency" xfId="1" builtinId="4"/>
    <cellStyle name="Currency 2" xfId="3"/>
    <cellStyle name="Currency 2 2" xfId="6"/>
    <cellStyle name="Currency 3" xfId="5"/>
    <cellStyle name="Followed Hyperlink" xfId="8"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Hyperlink" xfId="7"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Normal" xfId="0" builtinId="0"/>
    <cellStyle name="Normal 2" xfId="2"/>
    <cellStyle name="Percent" xfId="9"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6.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B1:L25"/>
  <sheetViews>
    <sheetView tabSelected="1" zoomScale="115" zoomScaleNormal="115" zoomScalePageLayoutView="115" workbookViewId="0">
      <selection activeCell="H8" sqref="H8"/>
    </sheetView>
  </sheetViews>
  <sheetFormatPr defaultColWidth="8.85546875" defaultRowHeight="15" x14ac:dyDescent="0.25"/>
  <cols>
    <col min="1" max="1" width="2.7109375" style="43" customWidth="1"/>
    <col min="2" max="2" width="52.42578125" style="43" customWidth="1"/>
    <col min="3" max="9" width="12.85546875" style="43" customWidth="1"/>
    <col min="10" max="10" width="1.85546875" style="43" customWidth="1"/>
    <col min="11" max="11" width="55.28515625" style="43" customWidth="1"/>
    <col min="12" max="16384" width="8.85546875" style="43"/>
  </cols>
  <sheetData>
    <row r="1" spans="2:12" ht="15.75" thickBot="1" x14ac:dyDescent="0.3">
      <c r="B1" s="1" t="s">
        <v>60</v>
      </c>
      <c r="C1" s="1"/>
      <c r="D1" s="1"/>
      <c r="E1" s="1"/>
      <c r="F1" s="1"/>
      <c r="G1" s="1"/>
      <c r="H1" s="1"/>
      <c r="I1" s="1"/>
      <c r="J1" s="1"/>
      <c r="K1" s="1"/>
    </row>
    <row r="2" spans="2:12" ht="19.5" thickBot="1" x14ac:dyDescent="0.35">
      <c r="B2" s="127" t="s">
        <v>0</v>
      </c>
      <c r="C2" s="128"/>
      <c r="D2" s="128"/>
      <c r="E2" s="128"/>
      <c r="F2" s="128"/>
      <c r="G2" s="128"/>
      <c r="H2" s="128"/>
      <c r="I2" s="129"/>
      <c r="J2" s="1"/>
      <c r="K2" s="1"/>
    </row>
    <row r="3" spans="2:12" ht="36.75" thickBot="1" x14ac:dyDescent="0.3">
      <c r="B3" s="2"/>
      <c r="C3" s="3" t="s">
        <v>1</v>
      </c>
      <c r="D3" s="4" t="s">
        <v>2</v>
      </c>
      <c r="E3" s="4" t="s">
        <v>3</v>
      </c>
      <c r="F3" s="4" t="s">
        <v>4</v>
      </c>
      <c r="G3" s="4" t="s">
        <v>5</v>
      </c>
      <c r="H3" s="4" t="s">
        <v>6</v>
      </c>
      <c r="I3" s="5" t="s">
        <v>178</v>
      </c>
      <c r="J3" s="47"/>
      <c r="K3" s="47" t="s">
        <v>7</v>
      </c>
    </row>
    <row r="4" spans="2:12" x14ac:dyDescent="0.25">
      <c r="B4" s="6" t="s">
        <v>179</v>
      </c>
      <c r="C4" s="7">
        <v>161166.73982134555</v>
      </c>
      <c r="D4" s="7">
        <v>7583019.9951183442</v>
      </c>
      <c r="E4" s="50">
        <v>-1859006.4448536183</v>
      </c>
      <c r="F4" s="7">
        <v>117327.86991392916</v>
      </c>
      <c r="G4" s="7">
        <v>0</v>
      </c>
      <c r="H4" s="99">
        <v>1857602.8300000003</v>
      </c>
      <c r="I4" s="8">
        <f>SUM(C4:H4)</f>
        <v>7860110.9900000012</v>
      </c>
      <c r="J4" s="44"/>
      <c r="K4" s="55"/>
    </row>
    <row r="5" spans="2:12" x14ac:dyDescent="0.25">
      <c r="B5" s="9" t="s">
        <v>180</v>
      </c>
      <c r="C5" s="10">
        <v>459688.45000000019</v>
      </c>
      <c r="D5" s="10">
        <v>13982301.440000001</v>
      </c>
      <c r="E5" s="10">
        <v>1603309.51</v>
      </c>
      <c r="F5" s="10">
        <v>71301</v>
      </c>
      <c r="G5" s="10">
        <v>812351</v>
      </c>
      <c r="H5" s="100">
        <v>646821.04</v>
      </c>
      <c r="I5" s="8">
        <f>SUM(C5:H5)</f>
        <v>17575772.439999998</v>
      </c>
      <c r="J5" s="45"/>
      <c r="K5" s="56"/>
    </row>
    <row r="6" spans="2:12" ht="15.75" thickBot="1" x14ac:dyDescent="0.3">
      <c r="B6" s="11" t="s">
        <v>181</v>
      </c>
      <c r="C6" s="12">
        <v>538671</v>
      </c>
      <c r="D6" s="12">
        <v>3947577.1996878567</v>
      </c>
      <c r="E6" s="12">
        <v>2299894</v>
      </c>
      <c r="F6" s="12">
        <v>98551.618147598972</v>
      </c>
      <c r="G6" s="12">
        <v>292719.51811129891</v>
      </c>
      <c r="H6" s="12">
        <v>750000</v>
      </c>
      <c r="I6" s="13">
        <f>SUM(C6:H6)</f>
        <v>7927413.3359467546</v>
      </c>
      <c r="J6" s="46"/>
      <c r="K6" s="46"/>
      <c r="L6" s="52"/>
    </row>
    <row r="7" spans="2:12" ht="25.35" customHeight="1" thickTop="1" thickBot="1" x14ac:dyDescent="0.3">
      <c r="B7" s="14" t="s">
        <v>182</v>
      </c>
      <c r="C7" s="15">
        <f>SUM(C4:C5)-C6</f>
        <v>82184.189821345732</v>
      </c>
      <c r="D7" s="15">
        <f t="shared" ref="D7:H7" si="0">SUM(D4:D5)-D6</f>
        <v>17617744.23543049</v>
      </c>
      <c r="E7" s="49">
        <f t="shared" si="0"/>
        <v>-2555590.934853618</v>
      </c>
      <c r="F7" s="15">
        <f t="shared" si="0"/>
        <v>90077.25176633017</v>
      </c>
      <c r="G7" s="15">
        <f t="shared" si="0"/>
        <v>519631.48188870109</v>
      </c>
      <c r="H7" s="15">
        <f t="shared" si="0"/>
        <v>1754423.87</v>
      </c>
      <c r="I7" s="16">
        <f>SUM(C7:H7)</f>
        <v>17508470.094053246</v>
      </c>
      <c r="J7" s="1"/>
      <c r="K7" s="130" t="s">
        <v>52</v>
      </c>
      <c r="L7" s="41"/>
    </row>
    <row r="8" spans="2:12" ht="15.75" thickBot="1" x14ac:dyDescent="0.3">
      <c r="B8" s="14" t="s">
        <v>183</v>
      </c>
      <c r="C8" s="15">
        <v>0</v>
      </c>
      <c r="D8" s="101">
        <f>'DtW Unres Commit'!C7</f>
        <v>10969609.601635076</v>
      </c>
      <c r="E8" s="101">
        <v>0</v>
      </c>
      <c r="F8" s="15">
        <v>0</v>
      </c>
      <c r="G8" s="15">
        <v>0</v>
      </c>
      <c r="H8" s="101">
        <f>'EA Unres Commit - guess'!C6</f>
        <v>1166423.8700000001</v>
      </c>
      <c r="I8" s="16">
        <f>SUM(C8:H8)</f>
        <v>12136033.471635077</v>
      </c>
      <c r="J8" s="1"/>
      <c r="K8" s="131"/>
    </row>
    <row r="9" spans="2:12" x14ac:dyDescent="0.25">
      <c r="B9" s="57" t="s">
        <v>184</v>
      </c>
      <c r="C9" s="17"/>
      <c r="D9" s="17"/>
      <c r="E9" s="17"/>
      <c r="F9" s="17"/>
      <c r="G9" s="17"/>
      <c r="H9" s="17"/>
      <c r="I9" s="17"/>
      <c r="J9" s="1"/>
      <c r="K9" s="131"/>
    </row>
    <row r="10" spans="2:12" x14ac:dyDescent="0.25">
      <c r="B10" s="1"/>
      <c r="C10" s="17"/>
      <c r="D10" s="17"/>
      <c r="E10" s="17"/>
      <c r="F10" s="17"/>
      <c r="G10" s="17"/>
      <c r="H10" s="17"/>
      <c r="I10" s="17"/>
      <c r="J10" s="1"/>
      <c r="K10" s="131"/>
    </row>
    <row r="11" spans="2:12" x14ac:dyDescent="0.25">
      <c r="B11" s="102"/>
      <c r="C11" s="103"/>
      <c r="D11" s="103"/>
      <c r="E11" s="103"/>
      <c r="F11" s="103"/>
      <c r="G11" s="103"/>
      <c r="H11" s="103"/>
      <c r="I11" s="103"/>
      <c r="K11" s="131"/>
    </row>
    <row r="12" spans="2:12" x14ac:dyDescent="0.25">
      <c r="B12" s="102"/>
      <c r="C12" s="104"/>
      <c r="D12" s="104"/>
      <c r="E12" s="104"/>
      <c r="F12" s="104"/>
      <c r="G12" s="104"/>
      <c r="H12" s="103"/>
      <c r="I12" s="103"/>
      <c r="J12" s="1"/>
      <c r="K12" s="131"/>
    </row>
    <row r="13" spans="2:12" x14ac:dyDescent="0.25">
      <c r="B13" s="102"/>
      <c r="C13" s="105"/>
      <c r="D13" s="105"/>
      <c r="E13" s="105"/>
      <c r="F13" s="105"/>
      <c r="G13" s="105"/>
      <c r="H13" s="103"/>
      <c r="I13" s="103"/>
      <c r="J13" s="1"/>
      <c r="K13" s="106"/>
    </row>
    <row r="14" spans="2:12" x14ac:dyDescent="0.25">
      <c r="B14" s="102"/>
      <c r="C14" s="103"/>
      <c r="D14" s="103"/>
      <c r="E14" s="103"/>
      <c r="F14" s="103"/>
      <c r="G14" s="103"/>
      <c r="H14" s="103"/>
      <c r="I14" s="103"/>
      <c r="J14" s="1"/>
      <c r="K14" s="106"/>
    </row>
    <row r="15" spans="2:12" x14ac:dyDescent="0.25">
      <c r="B15" s="102"/>
      <c r="C15" s="103"/>
      <c r="D15" s="103"/>
      <c r="E15" s="103"/>
      <c r="F15" s="103"/>
      <c r="G15" s="103"/>
      <c r="H15" s="103"/>
      <c r="I15" s="103"/>
      <c r="J15" s="1"/>
      <c r="K15" s="106"/>
    </row>
    <row r="16" spans="2:12" x14ac:dyDescent="0.25">
      <c r="H16" s="18"/>
      <c r="I16" s="48"/>
      <c r="J16" s="48"/>
      <c r="K16" s="48"/>
    </row>
    <row r="17" spans="8:11" x14ac:dyDescent="0.25">
      <c r="H17" s="18"/>
      <c r="I17" s="48"/>
      <c r="J17" s="48"/>
      <c r="K17" s="48"/>
    </row>
    <row r="18" spans="8:11" x14ac:dyDescent="0.25">
      <c r="H18" s="48"/>
      <c r="I18" s="48"/>
      <c r="J18" s="48"/>
      <c r="K18" s="48"/>
    </row>
    <row r="19" spans="8:11" x14ac:dyDescent="0.25">
      <c r="H19" s="18"/>
      <c r="I19" s="48"/>
      <c r="J19" s="48"/>
      <c r="K19" s="48"/>
    </row>
    <row r="20" spans="8:11" x14ac:dyDescent="0.25">
      <c r="H20" s="18"/>
      <c r="I20" s="48"/>
      <c r="J20" s="48"/>
      <c r="K20" s="48"/>
    </row>
    <row r="21" spans="8:11" x14ac:dyDescent="0.25">
      <c r="H21" s="18"/>
      <c r="I21" s="48"/>
      <c r="J21" s="48"/>
      <c r="K21" s="48"/>
    </row>
    <row r="22" spans="8:11" x14ac:dyDescent="0.25">
      <c r="H22" s="18"/>
      <c r="I22" s="18"/>
      <c r="J22" s="18"/>
      <c r="K22" s="18"/>
    </row>
    <row r="23" spans="8:11" x14ac:dyDescent="0.25">
      <c r="H23" s="18"/>
      <c r="I23" s="18"/>
      <c r="J23" s="18"/>
      <c r="K23" s="18"/>
    </row>
    <row r="24" spans="8:11" x14ac:dyDescent="0.25">
      <c r="H24" s="18"/>
      <c r="I24" s="18"/>
      <c r="J24" s="18"/>
      <c r="K24" s="18"/>
    </row>
    <row r="25" spans="8:11" x14ac:dyDescent="0.25">
      <c r="H25" s="18"/>
      <c r="I25" s="18"/>
      <c r="J25" s="18"/>
      <c r="K25" s="18"/>
    </row>
  </sheetData>
  <mergeCells count="2">
    <mergeCell ref="B2:I2"/>
    <mergeCell ref="K7:K12"/>
  </mergeCells>
  <pageMargins left="0.25" right="0.25" top="0.75" bottom="0.75" header="0.3" footer="0.3"/>
  <pageSetup scale="61" orientation="landscape"/>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31"/>
  <sheetViews>
    <sheetView workbookViewId="0">
      <selection activeCell="C27" sqref="C27"/>
    </sheetView>
  </sheetViews>
  <sheetFormatPr defaultColWidth="8.85546875" defaultRowHeight="15" x14ac:dyDescent="0.25"/>
  <cols>
    <col min="1" max="1" width="8.85546875" customWidth="1"/>
    <col min="2" max="2" width="33.85546875" customWidth="1"/>
    <col min="3" max="3" width="12.42578125" bestFit="1" customWidth="1"/>
    <col min="4" max="4" width="50" customWidth="1"/>
    <col min="5" max="5" width="34.42578125" customWidth="1"/>
  </cols>
  <sheetData>
    <row r="1" spans="2:7" ht="15.75" thickBot="1" x14ac:dyDescent="0.3">
      <c r="B1" t="s">
        <v>60</v>
      </c>
    </row>
    <row r="2" spans="2:7" x14ac:dyDescent="0.25">
      <c r="B2" s="132" t="s">
        <v>54</v>
      </c>
      <c r="C2" s="133"/>
      <c r="D2" s="134"/>
    </row>
    <row r="3" spans="2:7" x14ac:dyDescent="0.25">
      <c r="B3" s="20"/>
      <c r="C3" s="21" t="s">
        <v>9</v>
      </c>
      <c r="D3" s="22" t="s">
        <v>10</v>
      </c>
    </row>
    <row r="4" spans="2:7" x14ac:dyDescent="0.25">
      <c r="B4" s="23" t="s">
        <v>45</v>
      </c>
      <c r="C4" s="24">
        <f>'EvAct Rev &amp; Exp - not final'!H7</f>
        <v>1754423.87</v>
      </c>
      <c r="D4" s="25" t="s">
        <v>46</v>
      </c>
    </row>
    <row r="5" spans="2:7" x14ac:dyDescent="0.25">
      <c r="B5" s="23" t="s">
        <v>66</v>
      </c>
      <c r="C5" s="42">
        <f>C14</f>
        <v>588000</v>
      </c>
      <c r="D5" s="25" t="s">
        <v>13</v>
      </c>
    </row>
    <row r="6" spans="2:7" ht="15.75" thickBot="1" x14ac:dyDescent="0.3">
      <c r="B6" s="26" t="s">
        <v>14</v>
      </c>
      <c r="C6" s="111">
        <f>C4-C5</f>
        <v>1166423.8700000001</v>
      </c>
      <c r="D6" s="28" t="s">
        <v>55</v>
      </c>
      <c r="E6" s="52"/>
    </row>
    <row r="7" spans="2:7" ht="15.75" thickBot="1" x14ac:dyDescent="0.3"/>
    <row r="8" spans="2:7" x14ac:dyDescent="0.25">
      <c r="B8" s="132" t="s">
        <v>186</v>
      </c>
      <c r="C8" s="133"/>
      <c r="D8" s="134"/>
      <c r="E8" s="52"/>
    </row>
    <row r="9" spans="2:7" x14ac:dyDescent="0.25">
      <c r="B9" s="20" t="s">
        <v>67</v>
      </c>
      <c r="C9" s="21" t="s">
        <v>9</v>
      </c>
      <c r="D9" s="22" t="s">
        <v>16</v>
      </c>
      <c r="E9" s="53"/>
    </row>
    <row r="10" spans="2:7" x14ac:dyDescent="0.25">
      <c r="B10" s="112" t="s">
        <v>187</v>
      </c>
      <c r="C10" s="42">
        <v>750000</v>
      </c>
      <c r="D10" s="25" t="s">
        <v>188</v>
      </c>
      <c r="E10" s="52"/>
    </row>
    <row r="11" spans="2:7" x14ac:dyDescent="0.25">
      <c r="B11" s="112" t="s">
        <v>51</v>
      </c>
      <c r="C11" s="42">
        <v>600000</v>
      </c>
      <c r="D11" s="25" t="s">
        <v>61</v>
      </c>
      <c r="E11" s="52"/>
      <c r="G11" s="52"/>
    </row>
    <row r="12" spans="2:7" x14ac:dyDescent="0.25">
      <c r="B12" s="112" t="s">
        <v>50</v>
      </c>
      <c r="C12" s="42">
        <f>800000-375000</f>
        <v>425000</v>
      </c>
      <c r="D12" s="25"/>
      <c r="E12" s="52"/>
    </row>
    <row r="13" spans="2:7" x14ac:dyDescent="0.25">
      <c r="B13" s="112" t="s">
        <v>49</v>
      </c>
      <c r="C13" s="42">
        <v>163000</v>
      </c>
      <c r="D13" s="25"/>
      <c r="E13" s="52"/>
    </row>
    <row r="14" spans="2:7" ht="15.75" thickBot="1" x14ac:dyDescent="0.3">
      <c r="B14" s="37" t="s">
        <v>65</v>
      </c>
      <c r="C14" s="38">
        <f>SUM(C12:C13)</f>
        <v>588000</v>
      </c>
      <c r="D14" s="39"/>
    </row>
    <row r="15" spans="2:7" x14ac:dyDescent="0.25">
      <c r="B15" s="58" t="s">
        <v>70</v>
      </c>
    </row>
    <row r="16" spans="2:7" ht="15.75" thickBot="1" x14ac:dyDescent="0.3"/>
    <row r="17" spans="2:5" x14ac:dyDescent="0.25">
      <c r="B17" s="132" t="s">
        <v>189</v>
      </c>
      <c r="C17" s="133"/>
      <c r="D17" s="134"/>
    </row>
    <row r="18" spans="2:5" x14ac:dyDescent="0.25">
      <c r="B18" s="20" t="s">
        <v>68</v>
      </c>
      <c r="C18" s="21" t="s">
        <v>9</v>
      </c>
      <c r="D18" s="22" t="s">
        <v>16</v>
      </c>
    </row>
    <row r="19" spans="2:5" x14ac:dyDescent="0.25">
      <c r="B19" s="23" t="s">
        <v>190</v>
      </c>
      <c r="C19" s="42">
        <v>1200000</v>
      </c>
      <c r="D19" s="25"/>
    </row>
    <row r="20" spans="2:5" x14ac:dyDescent="0.25">
      <c r="B20" s="23" t="s">
        <v>14</v>
      </c>
      <c r="C20" s="24">
        <f>C6</f>
        <v>1166423.8700000001</v>
      </c>
      <c r="D20" s="25"/>
    </row>
    <row r="21" spans="2:5" x14ac:dyDescent="0.25">
      <c r="B21" s="23" t="s">
        <v>191</v>
      </c>
      <c r="C21" s="42">
        <f>550000</f>
        <v>550000</v>
      </c>
      <c r="D21" s="25" t="s">
        <v>192</v>
      </c>
    </row>
    <row r="22" spans="2:5" ht="15.75" thickBot="1" x14ac:dyDescent="0.3">
      <c r="B22" s="37" t="s">
        <v>8</v>
      </c>
      <c r="C22" s="38">
        <f>C19+C20-C21</f>
        <v>1816423.87</v>
      </c>
      <c r="D22" s="113" t="s">
        <v>193</v>
      </c>
    </row>
    <row r="23" spans="2:5" ht="15.75" thickBot="1" x14ac:dyDescent="0.3">
      <c r="B23" s="107"/>
      <c r="C23" s="108"/>
      <c r="D23" s="114"/>
      <c r="E23" s="115"/>
    </row>
    <row r="24" spans="2:5" x14ac:dyDescent="0.25">
      <c r="B24" s="132" t="s">
        <v>53</v>
      </c>
      <c r="C24" s="133"/>
      <c r="D24" s="134"/>
    </row>
    <row r="25" spans="2:5" x14ac:dyDescent="0.25">
      <c r="B25" s="20" t="s">
        <v>68</v>
      </c>
      <c r="C25" s="21" t="s">
        <v>9</v>
      </c>
      <c r="D25" s="22" t="s">
        <v>16</v>
      </c>
      <c r="E25" s="53"/>
    </row>
    <row r="26" spans="2:5" x14ac:dyDescent="0.25">
      <c r="B26" s="112" t="s">
        <v>63</v>
      </c>
      <c r="C26" s="42">
        <v>500000</v>
      </c>
      <c r="D26" s="25"/>
    </row>
    <row r="27" spans="2:5" x14ac:dyDescent="0.25">
      <c r="B27" s="112" t="s">
        <v>62</v>
      </c>
      <c r="C27" s="42">
        <v>600000</v>
      </c>
      <c r="D27" s="25"/>
    </row>
    <row r="28" spans="2:5" x14ac:dyDescent="0.25">
      <c r="B28" s="112" t="s">
        <v>64</v>
      </c>
      <c r="C28" s="42">
        <v>100000</v>
      </c>
      <c r="D28" s="25"/>
      <c r="E28" s="52"/>
    </row>
    <row r="29" spans="2:5" x14ac:dyDescent="0.25">
      <c r="B29" s="112" t="s">
        <v>194</v>
      </c>
      <c r="C29" s="42">
        <v>600000</v>
      </c>
      <c r="D29" s="25"/>
      <c r="E29" s="52"/>
    </row>
    <row r="30" spans="2:5" ht="15.75" thickBot="1" x14ac:dyDescent="0.3">
      <c r="B30" s="37" t="s">
        <v>8</v>
      </c>
      <c r="C30" s="38">
        <f>SUM(C26:C29)</f>
        <v>1800000</v>
      </c>
      <c r="D30" s="39"/>
    </row>
    <row r="31" spans="2:5" x14ac:dyDescent="0.25">
      <c r="B31" s="58" t="s">
        <v>69</v>
      </c>
    </row>
  </sheetData>
  <mergeCells count="4">
    <mergeCell ref="B24:D24"/>
    <mergeCell ref="B2:D2"/>
    <mergeCell ref="B8:D8"/>
    <mergeCell ref="B17:D17"/>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43"/>
  <sheetViews>
    <sheetView workbookViewId="0">
      <selection activeCell="C11" sqref="C11:C24"/>
    </sheetView>
  </sheetViews>
  <sheetFormatPr defaultColWidth="8.85546875" defaultRowHeight="10.5" x14ac:dyDescent="0.15"/>
  <cols>
    <col min="1" max="1" width="8.85546875" style="19"/>
    <col min="2" max="2" width="40.42578125" style="19" customWidth="1"/>
    <col min="3" max="3" width="11" style="19" customWidth="1"/>
    <col min="4" max="4" width="43.42578125" style="19" customWidth="1"/>
    <col min="5" max="5" width="2.42578125" style="19" customWidth="1"/>
    <col min="6" max="16384" width="8.85546875" style="19"/>
  </cols>
  <sheetData>
    <row r="1" spans="2:5" ht="11.25" thickBot="1" x14ac:dyDescent="0.2">
      <c r="B1" s="19" t="s">
        <v>60</v>
      </c>
    </row>
    <row r="2" spans="2:5" ht="11.25" x14ac:dyDescent="0.15">
      <c r="B2" s="132" t="s">
        <v>59</v>
      </c>
      <c r="C2" s="133"/>
      <c r="D2" s="134"/>
    </row>
    <row r="3" spans="2:5" ht="11.25" x14ac:dyDescent="0.15">
      <c r="B3" s="20"/>
      <c r="C3" s="21" t="s">
        <v>9</v>
      </c>
      <c r="D3" s="22" t="s">
        <v>10</v>
      </c>
    </row>
    <row r="4" spans="2:5" ht="11.25" x14ac:dyDescent="0.15">
      <c r="B4" s="23" t="s">
        <v>45</v>
      </c>
      <c r="C4" s="24">
        <f>'EvAct Rev &amp; Exp - not final'!D7</f>
        <v>17617744.23543049</v>
      </c>
      <c r="D4" s="25" t="s">
        <v>46</v>
      </c>
    </row>
    <row r="5" spans="2:5" ht="11.25" x14ac:dyDescent="0.15">
      <c r="B5" s="23" t="s">
        <v>11</v>
      </c>
      <c r="C5" s="42">
        <v>1517592.1942954133</v>
      </c>
      <c r="D5" s="25" t="s">
        <v>12</v>
      </c>
    </row>
    <row r="6" spans="2:5" ht="11.25" x14ac:dyDescent="0.15">
      <c r="B6" s="23" t="s">
        <v>56</v>
      </c>
      <c r="C6" s="42">
        <f>C26</f>
        <v>5130542.4395000003</v>
      </c>
      <c r="D6" s="25" t="s">
        <v>13</v>
      </c>
      <c r="E6" s="54"/>
    </row>
    <row r="7" spans="2:5" ht="12" thickBot="1" x14ac:dyDescent="0.2">
      <c r="B7" s="26" t="s">
        <v>57</v>
      </c>
      <c r="C7" s="27">
        <f>C4-C5-C6</f>
        <v>10969609.601635076</v>
      </c>
      <c r="D7" s="28" t="s">
        <v>48</v>
      </c>
      <c r="E7" s="54"/>
    </row>
    <row r="8" spans="2:5" ht="11.25" thickBot="1" x14ac:dyDescent="0.2">
      <c r="C8" s="29"/>
      <c r="E8" s="54"/>
    </row>
    <row r="9" spans="2:5" ht="11.25" x14ac:dyDescent="0.15">
      <c r="B9" s="132" t="s">
        <v>58</v>
      </c>
      <c r="C9" s="133"/>
      <c r="D9" s="134"/>
      <c r="E9" s="54"/>
    </row>
    <row r="10" spans="2:5" ht="11.25" x14ac:dyDescent="0.15">
      <c r="B10" s="30" t="s">
        <v>15</v>
      </c>
      <c r="C10" s="31" t="s">
        <v>9</v>
      </c>
      <c r="D10" s="32" t="s">
        <v>16</v>
      </c>
    </row>
    <row r="11" spans="2:5" ht="23.25" x14ac:dyDescent="0.2">
      <c r="B11" s="33" t="s">
        <v>17</v>
      </c>
      <c r="C11" s="40">
        <v>150000</v>
      </c>
      <c r="D11" s="34" t="s">
        <v>18</v>
      </c>
    </row>
    <row r="12" spans="2:5" ht="23.25" x14ac:dyDescent="0.2">
      <c r="B12" s="33" t="s">
        <v>19</v>
      </c>
      <c r="C12" s="40">
        <v>307785</v>
      </c>
      <c r="D12" s="34" t="s">
        <v>20</v>
      </c>
    </row>
    <row r="13" spans="2:5" ht="23.25" x14ac:dyDescent="0.2">
      <c r="B13" s="33" t="s">
        <v>21</v>
      </c>
      <c r="C13" s="40">
        <v>15000</v>
      </c>
      <c r="D13" s="34" t="s">
        <v>22</v>
      </c>
    </row>
    <row r="14" spans="2:5" ht="23.25" x14ac:dyDescent="0.2">
      <c r="B14" s="33" t="s">
        <v>23</v>
      </c>
      <c r="C14" s="40">
        <v>250000</v>
      </c>
      <c r="D14" s="34" t="s">
        <v>24</v>
      </c>
    </row>
    <row r="15" spans="2:5" ht="23.25" x14ac:dyDescent="0.2">
      <c r="B15" s="33" t="s">
        <v>25</v>
      </c>
      <c r="C15" s="40">
        <v>35000</v>
      </c>
      <c r="D15" s="34" t="s">
        <v>26</v>
      </c>
    </row>
    <row r="16" spans="2:5" ht="23.25" x14ac:dyDescent="0.2">
      <c r="B16" s="33" t="s">
        <v>27</v>
      </c>
      <c r="C16" s="40">
        <f>1360000-43189</f>
        <v>1316811</v>
      </c>
      <c r="D16" s="34" t="s">
        <v>28</v>
      </c>
    </row>
    <row r="17" spans="2:8" ht="23.25" x14ac:dyDescent="0.2">
      <c r="B17" s="33" t="s">
        <v>29</v>
      </c>
      <c r="C17" s="40">
        <f>140000-17812.56</f>
        <v>122187.44</v>
      </c>
      <c r="D17" s="34" t="s">
        <v>30</v>
      </c>
    </row>
    <row r="18" spans="2:8" ht="23.25" x14ac:dyDescent="0.2">
      <c r="B18" s="33" t="s">
        <v>31</v>
      </c>
      <c r="C18" s="40">
        <f>282000-73998.71</f>
        <v>208001.28999999998</v>
      </c>
      <c r="D18" s="34" t="s">
        <v>32</v>
      </c>
    </row>
    <row r="19" spans="2:8" ht="35.25" x14ac:dyDescent="0.25">
      <c r="B19" s="33" t="s">
        <v>33</v>
      </c>
      <c r="C19" s="40">
        <v>101000</v>
      </c>
      <c r="D19" s="34" t="s">
        <v>34</v>
      </c>
      <c r="G19"/>
      <c r="H19" s="19" t="s">
        <v>47</v>
      </c>
    </row>
    <row r="20" spans="2:8" ht="23.25" x14ac:dyDescent="0.2">
      <c r="B20" s="33" t="s">
        <v>35</v>
      </c>
      <c r="C20" s="40">
        <v>61600</v>
      </c>
      <c r="D20" s="34" t="s">
        <v>36</v>
      </c>
    </row>
    <row r="21" spans="2:8" ht="12" x14ac:dyDescent="0.2">
      <c r="B21" s="33" t="s">
        <v>37</v>
      </c>
      <c r="C21" s="40">
        <v>7000</v>
      </c>
      <c r="D21" s="34" t="s">
        <v>38</v>
      </c>
    </row>
    <row r="22" spans="2:8" ht="34.5" x14ac:dyDescent="0.2">
      <c r="B22" s="33" t="s">
        <v>39</v>
      </c>
      <c r="C22" s="40">
        <v>850000</v>
      </c>
      <c r="D22" s="34" t="s">
        <v>40</v>
      </c>
    </row>
    <row r="23" spans="2:8" ht="34.5" x14ac:dyDescent="0.2">
      <c r="B23" s="33" t="s">
        <v>41</v>
      </c>
      <c r="C23" s="40">
        <v>1320000</v>
      </c>
      <c r="D23" s="34" t="s">
        <v>42</v>
      </c>
    </row>
    <row r="24" spans="2:8" ht="45.75" x14ac:dyDescent="0.2">
      <c r="B24" s="33" t="s">
        <v>43</v>
      </c>
      <c r="C24" s="40">
        <f>SUM(C11:C21)*0.15</f>
        <v>386157.7095</v>
      </c>
      <c r="D24" s="34" t="s">
        <v>44</v>
      </c>
    </row>
    <row r="25" spans="2:8" ht="12" x14ac:dyDescent="0.2">
      <c r="B25" s="33"/>
      <c r="C25" s="35"/>
      <c r="D25" s="36"/>
    </row>
    <row r="26" spans="2:8" ht="12.75" thickBot="1" x14ac:dyDescent="0.25">
      <c r="B26" s="37" t="s">
        <v>8</v>
      </c>
      <c r="C26" s="38">
        <f>SUM(C11:C25)</f>
        <v>5130542.4395000003</v>
      </c>
      <c r="D26" s="39"/>
    </row>
    <row r="27" spans="2:8" x14ac:dyDescent="0.15">
      <c r="B27" s="19" t="s">
        <v>185</v>
      </c>
    </row>
    <row r="28" spans="2:8" ht="12" x14ac:dyDescent="0.2">
      <c r="B28" s="107"/>
      <c r="C28" s="108"/>
      <c r="D28" s="109"/>
    </row>
    <row r="29" spans="2:8" x14ac:dyDescent="0.15">
      <c r="B29" s="110"/>
      <c r="C29" s="110"/>
      <c r="D29" s="110"/>
    </row>
    <row r="30" spans="2:8" ht="12.75" x14ac:dyDescent="0.2">
      <c r="B30" s="118" t="s">
        <v>94</v>
      </c>
      <c r="C30" s="116"/>
      <c r="D30" s="110"/>
    </row>
    <row r="31" spans="2:8" ht="12.75" x14ac:dyDescent="0.2">
      <c r="B31" s="118"/>
      <c r="C31" s="116"/>
      <c r="D31" s="110"/>
    </row>
    <row r="32" spans="2:8" ht="12.75" x14ac:dyDescent="0.2">
      <c r="B32" s="116" t="s">
        <v>195</v>
      </c>
      <c r="C32" s="119">
        <f>C7</f>
        <v>10969609.601635076</v>
      </c>
      <c r="D32" s="110"/>
    </row>
    <row r="33" spans="2:4" ht="12.75" x14ac:dyDescent="0.2">
      <c r="B33" s="116" t="s">
        <v>216</v>
      </c>
      <c r="C33" s="120">
        <f>'Total room for more funding'!D8</f>
        <v>2100000</v>
      </c>
      <c r="D33" s="110"/>
    </row>
    <row r="34" spans="2:4" ht="12.75" x14ac:dyDescent="0.2">
      <c r="B34" s="124" t="s">
        <v>217</v>
      </c>
      <c r="C34" s="125">
        <f>C32-C33</f>
        <v>8869609.6016350761</v>
      </c>
      <c r="D34" s="110"/>
    </row>
    <row r="35" spans="2:4" ht="12.75" x14ac:dyDescent="0.2">
      <c r="B35" s="116"/>
      <c r="C35" s="120"/>
      <c r="D35" s="110"/>
    </row>
    <row r="36" spans="2:4" ht="12.75" x14ac:dyDescent="0.2">
      <c r="B36" s="116" t="s">
        <v>196</v>
      </c>
      <c r="C36" s="120">
        <f>'EA Unres Commit - guess'!C13+'EA Unres Commit - guess'!C27</f>
        <v>763000</v>
      </c>
      <c r="D36" s="110"/>
    </row>
    <row r="37" spans="2:4" ht="12.75" x14ac:dyDescent="0.2">
      <c r="B37" s="116" t="s">
        <v>197</v>
      </c>
      <c r="C37" s="120">
        <v>400000</v>
      </c>
      <c r="D37" s="110"/>
    </row>
    <row r="38" spans="2:4" ht="12.75" x14ac:dyDescent="0.2">
      <c r="B38" s="116" t="s">
        <v>214</v>
      </c>
      <c r="C38" s="120">
        <v>1000000</v>
      </c>
      <c r="D38" s="110" t="s">
        <v>215</v>
      </c>
    </row>
    <row r="39" spans="2:4" ht="12.75" x14ac:dyDescent="0.2">
      <c r="B39" s="124" t="s">
        <v>218</v>
      </c>
      <c r="C39" s="125">
        <f>SUM(C36:C38)</f>
        <v>2163000</v>
      </c>
      <c r="D39" s="110"/>
    </row>
    <row r="40" spans="2:4" x14ac:dyDescent="0.15">
      <c r="D40" s="110"/>
    </row>
    <row r="41" spans="2:4" ht="12.75" x14ac:dyDescent="0.2">
      <c r="B41" s="118" t="s">
        <v>198</v>
      </c>
      <c r="C41" s="121">
        <f>C34+C39</f>
        <v>11032609.601635076</v>
      </c>
      <c r="D41" s="110"/>
    </row>
    <row r="42" spans="2:4" ht="12.75" x14ac:dyDescent="0.2">
      <c r="B42" s="117"/>
      <c r="C42" s="117"/>
    </row>
    <row r="43" spans="2:4" ht="12.75" x14ac:dyDescent="0.2">
      <c r="B43" s="117"/>
      <c r="C43" s="117"/>
    </row>
  </sheetData>
  <mergeCells count="2">
    <mergeCell ref="B2:D2"/>
    <mergeCell ref="B9:D9"/>
  </mergeCells>
  <pageMargins left="0.25" right="0.25" top="0.75" bottom="0.75" header="0.3" footer="0.3"/>
  <pageSetup orientation="portrait"/>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U88"/>
  <sheetViews>
    <sheetView workbookViewId="0">
      <selection activeCell="E23" sqref="E23"/>
    </sheetView>
  </sheetViews>
  <sheetFormatPr defaultColWidth="8.85546875" defaultRowHeight="15" x14ac:dyDescent="0.25"/>
  <cols>
    <col min="1" max="1" width="21.140625" style="43" bestFit="1" customWidth="1"/>
    <col min="2" max="2" width="11.42578125" style="43" bestFit="1" customWidth="1"/>
    <col min="3" max="3" width="11" style="43" bestFit="1" customWidth="1"/>
    <col min="4" max="4" width="10.140625" style="43" bestFit="1" customWidth="1"/>
    <col min="5" max="5" width="9.42578125" style="43" bestFit="1" customWidth="1"/>
    <col min="6" max="6" width="11.140625" style="43" customWidth="1"/>
    <col min="7" max="7" width="8.42578125" style="43" bestFit="1" customWidth="1"/>
    <col min="8" max="8" width="7.85546875" style="43" bestFit="1" customWidth="1"/>
    <col min="9" max="9" width="9.85546875" style="43" customWidth="1"/>
    <col min="10" max="10" width="11.7109375" style="43" bestFit="1" customWidth="1"/>
    <col min="11" max="11" width="10.42578125" style="43" bestFit="1" customWidth="1"/>
    <col min="12" max="12" width="12.42578125" style="43" customWidth="1"/>
    <col min="13" max="14" width="8.85546875" style="43"/>
    <col min="15" max="15" width="17.42578125" style="43" customWidth="1"/>
    <col min="16" max="16" width="10.85546875" style="43" customWidth="1"/>
    <col min="17" max="17" width="5.28515625" style="43" customWidth="1"/>
    <col min="18" max="18" width="12.7109375" style="43" customWidth="1"/>
    <col min="19" max="19" width="6" style="43" customWidth="1"/>
    <col min="20" max="20" width="11.85546875" style="43" customWidth="1"/>
    <col min="21" max="21" width="5.28515625" style="43" customWidth="1"/>
    <col min="22" max="16384" width="8.85546875" style="43"/>
  </cols>
  <sheetData>
    <row r="2" spans="1:21" x14ac:dyDescent="0.25">
      <c r="O2" s="43" t="s">
        <v>94</v>
      </c>
    </row>
    <row r="3" spans="1:21" x14ac:dyDescent="0.25">
      <c r="B3" s="135" t="s">
        <v>98</v>
      </c>
      <c r="C3" s="136"/>
      <c r="D3" s="136"/>
      <c r="E3" s="136"/>
      <c r="F3" s="136"/>
      <c r="G3" s="136"/>
      <c r="H3" s="136"/>
      <c r="I3" s="136"/>
      <c r="J3" s="136"/>
      <c r="K3" s="136"/>
      <c r="L3" s="137"/>
      <c r="O3" s="43" t="s">
        <v>208</v>
      </c>
    </row>
    <row r="4" spans="1:21" ht="5.0999999999999996" customHeight="1" x14ac:dyDescent="0.25">
      <c r="B4" s="76"/>
      <c r="C4" s="76"/>
      <c r="D4" s="76"/>
      <c r="E4" s="76"/>
      <c r="F4" s="76"/>
      <c r="G4" s="76"/>
      <c r="H4" s="76"/>
      <c r="I4" s="76"/>
      <c r="J4" s="76"/>
      <c r="K4" s="76"/>
      <c r="L4" s="76"/>
    </row>
    <row r="5" spans="1:21" x14ac:dyDescent="0.25">
      <c r="A5" s="77"/>
      <c r="B5" s="78" t="s">
        <v>99</v>
      </c>
      <c r="C5" s="78" t="s">
        <v>77</v>
      </c>
      <c r="D5" s="78" t="s">
        <v>79</v>
      </c>
      <c r="E5" s="78" t="s">
        <v>100</v>
      </c>
      <c r="F5" s="78" t="s">
        <v>37</v>
      </c>
      <c r="G5" s="78" t="s">
        <v>78</v>
      </c>
      <c r="H5" s="78" t="s">
        <v>81</v>
      </c>
      <c r="I5" s="78" t="s">
        <v>101</v>
      </c>
      <c r="J5" s="78" t="s">
        <v>102</v>
      </c>
      <c r="K5" s="78" t="s">
        <v>103</v>
      </c>
      <c r="L5" s="78" t="s">
        <v>8</v>
      </c>
      <c r="O5" s="81"/>
      <c r="P5" s="81" t="s">
        <v>99</v>
      </c>
      <c r="Q5" s="81"/>
      <c r="R5" s="81" t="s">
        <v>79</v>
      </c>
      <c r="S5" s="81"/>
      <c r="T5" s="81" t="s">
        <v>77</v>
      </c>
    </row>
    <row r="6" spans="1:21" s="81" customFormat="1" x14ac:dyDescent="0.25">
      <c r="A6" s="79" t="s">
        <v>104</v>
      </c>
      <c r="B6" s="80">
        <f>SUM(B7:B13)</f>
        <v>474274.79989810172</v>
      </c>
      <c r="C6" s="80">
        <f t="shared" ref="C6:K6" si="0">SUM(C7:C13)</f>
        <v>1326949.7197976494</v>
      </c>
      <c r="D6" s="80">
        <f t="shared" si="0"/>
        <v>1417504.4800000014</v>
      </c>
      <c r="E6" s="80">
        <f t="shared" si="0"/>
        <v>5586.6599999999989</v>
      </c>
      <c r="F6" s="80">
        <f>SUM(F7:F13)</f>
        <v>38882.480000000003</v>
      </c>
      <c r="G6" s="80">
        <f t="shared" si="0"/>
        <v>0</v>
      </c>
      <c r="H6" s="80">
        <f t="shared" si="0"/>
        <v>0</v>
      </c>
      <c r="I6" s="80">
        <f t="shared" si="0"/>
        <v>22691.070000000003</v>
      </c>
      <c r="J6" s="80">
        <f t="shared" si="0"/>
        <v>21345.75</v>
      </c>
      <c r="K6" s="80">
        <f t="shared" si="0"/>
        <v>0</v>
      </c>
      <c r="L6" s="80">
        <f t="shared" ref="L6:L13" si="1">SUM(B6:K6)</f>
        <v>3307234.9596957527</v>
      </c>
      <c r="O6" s="81" t="s">
        <v>105</v>
      </c>
      <c r="P6" s="122">
        <f>SUM(L7,L16,L32,L41)</f>
        <v>506950.54732973292</v>
      </c>
      <c r="Q6" s="89">
        <f>P6/P$13</f>
        <v>5.8554187295830382E-2</v>
      </c>
      <c r="R6" s="122">
        <f>SUM(D7,D16,D32,D41)</f>
        <v>162880.25000000006</v>
      </c>
      <c r="S6" s="89">
        <f>R6/R$13</f>
        <v>5.281971441447695E-2</v>
      </c>
      <c r="T6" s="122">
        <f>SUM(C7,C16,C32,C41)</f>
        <v>224494.06732973285</v>
      </c>
      <c r="U6" s="123">
        <f>T6/T$13</f>
        <v>6.2730800969733866E-2</v>
      </c>
    </row>
    <row r="7" spans="1:21" x14ac:dyDescent="0.25">
      <c r="A7" s="82" t="s">
        <v>105</v>
      </c>
      <c r="B7" s="83">
        <v>0</v>
      </c>
      <c r="C7" s="83">
        <v>75170.735169296808</v>
      </c>
      <c r="D7" s="83">
        <v>35937.32999999998</v>
      </c>
      <c r="E7" s="83">
        <v>0</v>
      </c>
      <c r="F7" s="83">
        <v>576.79</v>
      </c>
      <c r="G7" s="83">
        <v>0</v>
      </c>
      <c r="H7" s="83">
        <v>0</v>
      </c>
      <c r="I7" s="83">
        <v>0</v>
      </c>
      <c r="J7" s="83">
        <v>0</v>
      </c>
      <c r="K7" s="83">
        <v>0</v>
      </c>
      <c r="L7" s="83">
        <f t="shared" si="1"/>
        <v>111684.85516929677</v>
      </c>
      <c r="M7" s="84"/>
      <c r="O7" s="81" t="s">
        <v>106</v>
      </c>
      <c r="P7" s="122">
        <f t="shared" ref="P7:P12" si="2">SUM(L8,L17,L33,L42)</f>
        <v>557933.67990661087</v>
      </c>
      <c r="Q7" s="89">
        <f t="shared" ref="Q7:Q13" si="3">P7/P$13</f>
        <v>6.4442879811420009E-2</v>
      </c>
      <c r="R7" s="122">
        <f t="shared" ref="R7:R12" si="4">SUM(D8,D17,D33,D42)</f>
        <v>175280.18000000023</v>
      </c>
      <c r="S7" s="89">
        <f t="shared" ref="S7:S13" si="5">R7/R$13</f>
        <v>5.684083275976138E-2</v>
      </c>
      <c r="T7" s="122">
        <f t="shared" ref="T7:T12" si="6">SUM(C8,C17,C33,C42)</f>
        <v>363106.60990661057</v>
      </c>
      <c r="U7" s="123">
        <f t="shared" ref="U7:U13" si="7">T7/T$13</f>
        <v>0.10146356537516206</v>
      </c>
    </row>
    <row r="8" spans="1:21" x14ac:dyDescent="0.25">
      <c r="A8" s="82" t="s">
        <v>106</v>
      </c>
      <c r="B8" s="83">
        <v>5200</v>
      </c>
      <c r="C8" s="83">
        <v>190945.23503994694</v>
      </c>
      <c r="D8" s="83">
        <v>77006.880000000121</v>
      </c>
      <c r="E8" s="83">
        <v>0</v>
      </c>
      <c r="F8" s="83">
        <v>0</v>
      </c>
      <c r="G8" s="83">
        <v>0</v>
      </c>
      <c r="H8" s="83">
        <v>0</v>
      </c>
      <c r="I8" s="83">
        <v>0</v>
      </c>
      <c r="J8" s="83">
        <v>0</v>
      </c>
      <c r="K8" s="83">
        <v>0</v>
      </c>
      <c r="L8" s="83">
        <f t="shared" si="1"/>
        <v>273152.11503994709</v>
      </c>
      <c r="M8" s="84"/>
      <c r="O8" s="81" t="s">
        <v>107</v>
      </c>
      <c r="P8" s="122">
        <f t="shared" si="2"/>
        <v>133638.75033326808</v>
      </c>
      <c r="Q8" s="89">
        <f t="shared" si="3"/>
        <v>1.5435644478957932E-2</v>
      </c>
      <c r="R8" s="122">
        <f t="shared" si="4"/>
        <v>33868.030000000006</v>
      </c>
      <c r="S8" s="89">
        <f t="shared" si="5"/>
        <v>1.0982913351256137E-2</v>
      </c>
      <c r="T8" s="122">
        <f t="shared" si="6"/>
        <v>98901.740333268084</v>
      </c>
      <c r="U8" s="123">
        <f t="shared" si="7"/>
        <v>2.7636299979784965E-2</v>
      </c>
    </row>
    <row r="9" spans="1:21" x14ac:dyDescent="0.25">
      <c r="A9" s="82" t="s">
        <v>107</v>
      </c>
      <c r="B9" s="83">
        <v>0</v>
      </c>
      <c r="C9" s="83">
        <v>70708.934468572988</v>
      </c>
      <c r="D9" s="83">
        <v>11963.440000000004</v>
      </c>
      <c r="E9" s="83">
        <v>0</v>
      </c>
      <c r="F9" s="83">
        <v>0</v>
      </c>
      <c r="G9" s="83">
        <v>0</v>
      </c>
      <c r="H9" s="83">
        <v>0</v>
      </c>
      <c r="I9" s="83">
        <v>0</v>
      </c>
      <c r="J9" s="83">
        <v>0</v>
      </c>
      <c r="K9" s="83">
        <v>0</v>
      </c>
      <c r="L9" s="83">
        <f t="shared" si="1"/>
        <v>82672.374468572991</v>
      </c>
      <c r="M9" s="84"/>
      <c r="O9" s="81" t="s">
        <v>108</v>
      </c>
      <c r="P9" s="122">
        <f t="shared" si="2"/>
        <v>1807248.1484537369</v>
      </c>
      <c r="Q9" s="89">
        <f t="shared" si="3"/>
        <v>0.20874214877960004</v>
      </c>
      <c r="R9" s="122">
        <f t="shared" si="4"/>
        <v>1401605.8700000017</v>
      </c>
      <c r="S9" s="89">
        <f t="shared" si="5"/>
        <v>0.45452055589953094</v>
      </c>
      <c r="T9" s="122">
        <f t="shared" si="6"/>
        <v>250669.96845373517</v>
      </c>
      <c r="U9" s="123">
        <f t="shared" si="7"/>
        <v>7.0045182428204344E-2</v>
      </c>
    </row>
    <row r="10" spans="1:21" x14ac:dyDescent="0.25">
      <c r="A10" s="82" t="s">
        <v>108</v>
      </c>
      <c r="B10" s="83">
        <v>0</v>
      </c>
      <c r="C10" s="83">
        <v>145035.34815135793</v>
      </c>
      <c r="D10" s="83">
        <v>908256.72000000114</v>
      </c>
      <c r="E10" s="83">
        <v>-96.440000000000055</v>
      </c>
      <c r="F10" s="83">
        <v>86.52</v>
      </c>
      <c r="G10" s="83">
        <v>0</v>
      </c>
      <c r="H10" s="83">
        <v>0</v>
      </c>
      <c r="I10" s="83">
        <v>0</v>
      </c>
      <c r="J10" s="83">
        <v>0</v>
      </c>
      <c r="K10" s="83">
        <v>0</v>
      </c>
      <c r="L10" s="83">
        <f t="shared" si="1"/>
        <v>1053282.1481513591</v>
      </c>
      <c r="M10" s="84"/>
      <c r="O10" s="81" t="s">
        <v>205</v>
      </c>
      <c r="P10" s="122">
        <f t="shared" si="2"/>
        <v>984272.47216051421</v>
      </c>
      <c r="Q10" s="89">
        <f t="shared" si="3"/>
        <v>0.11368618692412746</v>
      </c>
      <c r="R10" s="122">
        <f t="shared" si="4"/>
        <v>309871.38</v>
      </c>
      <c r="S10" s="89">
        <f t="shared" si="5"/>
        <v>0.10048681652207594</v>
      </c>
      <c r="T10" s="122">
        <f t="shared" si="6"/>
        <v>641072.88216051424</v>
      </c>
      <c r="U10" s="123">
        <f t="shared" si="7"/>
        <v>0.17913620549641421</v>
      </c>
    </row>
    <row r="11" spans="1:21" x14ac:dyDescent="0.25">
      <c r="A11" s="82" t="s">
        <v>109</v>
      </c>
      <c r="B11" s="83">
        <v>0</v>
      </c>
      <c r="C11" s="83">
        <v>376019.08768822497</v>
      </c>
      <c r="D11" s="83">
        <v>112898.97999999998</v>
      </c>
      <c r="E11" s="83">
        <v>7603.4599999999991</v>
      </c>
      <c r="F11" s="83">
        <v>419.17</v>
      </c>
      <c r="G11" s="83">
        <v>0</v>
      </c>
      <c r="H11" s="83">
        <v>0</v>
      </c>
      <c r="I11" s="83">
        <v>0</v>
      </c>
      <c r="J11" s="83">
        <v>2064.16</v>
      </c>
      <c r="K11" s="83">
        <v>0</v>
      </c>
      <c r="L11" s="83">
        <f t="shared" si="1"/>
        <v>499004.85768822493</v>
      </c>
      <c r="M11" s="84"/>
      <c r="O11" s="81" t="s">
        <v>206</v>
      </c>
      <c r="P11" s="122">
        <f t="shared" si="2"/>
        <v>754941.49561971379</v>
      </c>
      <c r="Q11" s="89">
        <f t="shared" si="3"/>
        <v>8.7197826227336211E-2</v>
      </c>
      <c r="R11" s="122">
        <f t="shared" si="4"/>
        <v>2329.62</v>
      </c>
      <c r="S11" s="89">
        <f t="shared" si="5"/>
        <v>7.5546214531383479E-4</v>
      </c>
      <c r="T11" s="122">
        <f t="shared" si="6"/>
        <v>620926.60561971378</v>
      </c>
      <c r="U11" s="123">
        <f t="shared" si="7"/>
        <v>0.17350669341623109</v>
      </c>
    </row>
    <row r="12" spans="1:21" x14ac:dyDescent="0.25">
      <c r="A12" s="82" t="s">
        <v>110</v>
      </c>
      <c r="B12" s="83">
        <v>0</v>
      </c>
      <c r="C12" s="83">
        <v>59165.459345427575</v>
      </c>
      <c r="D12" s="83">
        <v>0</v>
      </c>
      <c r="E12" s="83">
        <v>0</v>
      </c>
      <c r="F12" s="83">
        <v>0</v>
      </c>
      <c r="G12" s="83">
        <v>0</v>
      </c>
      <c r="H12" s="83">
        <v>0</v>
      </c>
      <c r="I12" s="83">
        <v>0</v>
      </c>
      <c r="J12" s="83">
        <v>0</v>
      </c>
      <c r="K12" s="83">
        <v>0</v>
      </c>
      <c r="L12" s="83">
        <f t="shared" si="1"/>
        <v>59165.459345427575</v>
      </c>
      <c r="M12" s="84"/>
      <c r="O12" s="81" t="s">
        <v>207</v>
      </c>
      <c r="P12" s="122">
        <f t="shared" si="2"/>
        <v>3912816.6918909643</v>
      </c>
      <c r="Q12" s="89">
        <f t="shared" si="3"/>
        <v>0.45194112648272788</v>
      </c>
      <c r="R12" s="122">
        <f t="shared" si="4"/>
        <v>997866.49999999977</v>
      </c>
      <c r="S12" s="89">
        <f t="shared" si="5"/>
        <v>0.32359370490758477</v>
      </c>
      <c r="T12" s="122">
        <f t="shared" si="6"/>
        <v>1379517.7628558704</v>
      </c>
      <c r="U12" s="123">
        <f t="shared" si="7"/>
        <v>0.38548125233446945</v>
      </c>
    </row>
    <row r="13" spans="1:21" x14ac:dyDescent="0.25">
      <c r="A13" s="82" t="s">
        <v>111</v>
      </c>
      <c r="B13" s="83">
        <v>469074.79989810172</v>
      </c>
      <c r="C13" s="83">
        <v>409904.91993482201</v>
      </c>
      <c r="D13" s="83">
        <v>271441.13000000006</v>
      </c>
      <c r="E13" s="83">
        <v>-1920.3599999999997</v>
      </c>
      <c r="F13" s="83">
        <v>37800</v>
      </c>
      <c r="G13" s="83">
        <v>0</v>
      </c>
      <c r="H13" s="83">
        <v>0</v>
      </c>
      <c r="I13" s="83">
        <v>22691.070000000003</v>
      </c>
      <c r="J13" s="83">
        <v>19281.59</v>
      </c>
      <c r="K13" s="83">
        <v>0</v>
      </c>
      <c r="L13" s="83">
        <f t="shared" si="1"/>
        <v>1228273.1498329239</v>
      </c>
      <c r="M13" s="84"/>
      <c r="O13" s="81" t="s">
        <v>8</v>
      </c>
      <c r="P13" s="122">
        <f>SUM(P6:P12)</f>
        <v>8657801.7856945414</v>
      </c>
      <c r="Q13" s="89">
        <f t="shared" si="3"/>
        <v>1</v>
      </c>
      <c r="R13" s="122">
        <f t="shared" ref="R13:T13" si="8">SUM(R6:R12)</f>
        <v>3083701.8300000019</v>
      </c>
      <c r="S13" s="89">
        <f t="shared" si="5"/>
        <v>1</v>
      </c>
      <c r="T13" s="122">
        <f t="shared" si="8"/>
        <v>3578689.6366594452</v>
      </c>
      <c r="U13" s="123">
        <f t="shared" si="7"/>
        <v>1</v>
      </c>
    </row>
    <row r="14" spans="1:21" x14ac:dyDescent="0.25">
      <c r="A14" s="82"/>
      <c r="B14" s="83"/>
      <c r="C14" s="83"/>
      <c r="D14" s="83"/>
      <c r="E14" s="83"/>
      <c r="F14" s="83"/>
      <c r="G14" s="83"/>
      <c r="H14" s="83"/>
      <c r="I14" s="83"/>
      <c r="J14" s="83"/>
      <c r="K14" s="83"/>
      <c r="L14" s="83"/>
    </row>
    <row r="15" spans="1:21" s="81" customFormat="1" x14ac:dyDescent="0.25">
      <c r="A15" s="79" t="s">
        <v>112</v>
      </c>
      <c r="B15" s="80">
        <f>SUM(B16:B23)</f>
        <v>75711.699500000002</v>
      </c>
      <c r="C15" s="80">
        <f t="shared" ref="C15:K15" si="9">SUM(C16:C23)</f>
        <v>29079.752550247242</v>
      </c>
      <c r="D15" s="80">
        <f t="shared" si="9"/>
        <v>19777.789999999979</v>
      </c>
      <c r="E15" s="80">
        <f t="shared" si="9"/>
        <v>10931.630000000001</v>
      </c>
      <c r="F15" s="80">
        <f>SUM(F16:F23)</f>
        <v>17172.66</v>
      </c>
      <c r="G15" s="80">
        <f t="shared" si="9"/>
        <v>64224.600000000006</v>
      </c>
      <c r="H15" s="80">
        <f t="shared" si="9"/>
        <v>90559.91</v>
      </c>
      <c r="I15" s="80">
        <f t="shared" si="9"/>
        <v>31949.54</v>
      </c>
      <c r="J15" s="80">
        <f t="shared" si="9"/>
        <v>3828.88</v>
      </c>
      <c r="K15" s="80">
        <f t="shared" si="9"/>
        <v>7478.3799999999992</v>
      </c>
      <c r="L15" s="80">
        <f t="shared" ref="L15:L23" si="10">SUM(B15:K15)</f>
        <v>350714.84205024719</v>
      </c>
    </row>
    <row r="16" spans="1:21" x14ac:dyDescent="0.25">
      <c r="A16" s="82" t="s">
        <v>105</v>
      </c>
      <c r="B16" s="83">
        <v>0</v>
      </c>
      <c r="C16" s="83">
        <v>2372.3976841111407</v>
      </c>
      <c r="D16" s="83">
        <v>1033.82</v>
      </c>
      <c r="E16" s="83">
        <v>0</v>
      </c>
      <c r="F16" s="83">
        <v>16438.3</v>
      </c>
      <c r="G16" s="83">
        <v>1375.0600000000002</v>
      </c>
      <c r="H16" s="83">
        <v>0</v>
      </c>
      <c r="I16" s="83">
        <v>0</v>
      </c>
      <c r="J16" s="83">
        <v>0</v>
      </c>
      <c r="K16" s="83">
        <v>0</v>
      </c>
      <c r="L16" s="83">
        <f t="shared" si="10"/>
        <v>21219.57768411114</v>
      </c>
    </row>
    <row r="17" spans="1:12" x14ac:dyDescent="0.25">
      <c r="A17" s="82" t="s">
        <v>106</v>
      </c>
      <c r="B17" s="83">
        <v>0</v>
      </c>
      <c r="C17" s="83">
        <v>6071.969696969697</v>
      </c>
      <c r="D17" s="83">
        <v>0</v>
      </c>
      <c r="E17" s="83">
        <v>0</v>
      </c>
      <c r="F17" s="83">
        <v>0</v>
      </c>
      <c r="G17" s="83">
        <v>0</v>
      </c>
      <c r="H17" s="83">
        <v>0</v>
      </c>
      <c r="I17" s="83">
        <v>0</v>
      </c>
      <c r="J17" s="83">
        <v>0</v>
      </c>
      <c r="K17" s="83">
        <v>0</v>
      </c>
      <c r="L17" s="83">
        <f t="shared" si="10"/>
        <v>6071.969696969697</v>
      </c>
    </row>
    <row r="18" spans="1:12" x14ac:dyDescent="0.25">
      <c r="A18" s="82" t="s">
        <v>107</v>
      </c>
      <c r="B18" s="83">
        <v>0</v>
      </c>
      <c r="C18" s="83">
        <v>557.23333333333335</v>
      </c>
      <c r="D18" s="83">
        <v>0</v>
      </c>
      <c r="E18" s="83">
        <v>69.040000000000006</v>
      </c>
      <c r="F18" s="83">
        <v>0</v>
      </c>
      <c r="G18" s="83">
        <v>0</v>
      </c>
      <c r="H18" s="83">
        <v>0</v>
      </c>
      <c r="I18" s="83">
        <v>0</v>
      </c>
      <c r="J18" s="83">
        <v>0</v>
      </c>
      <c r="K18" s="83">
        <v>0</v>
      </c>
      <c r="L18" s="83">
        <f t="shared" si="10"/>
        <v>626.27333333333331</v>
      </c>
    </row>
    <row r="19" spans="1:12" x14ac:dyDescent="0.25">
      <c r="A19" s="82" t="s">
        <v>108</v>
      </c>
      <c r="B19" s="83">
        <v>0</v>
      </c>
      <c r="C19" s="83">
        <v>858.75</v>
      </c>
      <c r="D19" s="83">
        <v>1945</v>
      </c>
      <c r="E19" s="83">
        <v>506.85</v>
      </c>
      <c r="F19" s="83">
        <v>0</v>
      </c>
      <c r="G19" s="83">
        <v>10900.220000000001</v>
      </c>
      <c r="H19" s="83">
        <v>0</v>
      </c>
      <c r="I19" s="83">
        <v>0</v>
      </c>
      <c r="J19" s="83">
        <v>0</v>
      </c>
      <c r="K19" s="83">
        <v>0</v>
      </c>
      <c r="L19" s="83">
        <f t="shared" si="10"/>
        <v>14210.820000000002</v>
      </c>
    </row>
    <row r="20" spans="1:12" x14ac:dyDescent="0.25">
      <c r="A20" s="82" t="s">
        <v>109</v>
      </c>
      <c r="B20" s="83">
        <v>0</v>
      </c>
      <c r="C20" s="83">
        <v>14407.48330150549</v>
      </c>
      <c r="D20" s="83">
        <v>4980.2399999999989</v>
      </c>
      <c r="E20" s="83">
        <v>577.42999999999995</v>
      </c>
      <c r="F20" s="83">
        <v>0</v>
      </c>
      <c r="G20" s="83">
        <v>3559.1800000000007</v>
      </c>
      <c r="H20" s="83">
        <v>0</v>
      </c>
      <c r="I20" s="83">
        <v>0</v>
      </c>
      <c r="J20" s="83">
        <v>0</v>
      </c>
      <c r="K20" s="83">
        <v>0</v>
      </c>
      <c r="L20" s="83">
        <f t="shared" si="10"/>
        <v>23524.333301505489</v>
      </c>
    </row>
    <row r="21" spans="1:12" x14ac:dyDescent="0.25">
      <c r="A21" s="82" t="s">
        <v>110</v>
      </c>
      <c r="B21" s="83">
        <v>0</v>
      </c>
      <c r="C21" s="83">
        <v>0</v>
      </c>
      <c r="D21" s="83">
        <v>0</v>
      </c>
      <c r="E21" s="83">
        <v>0</v>
      </c>
      <c r="F21" s="83">
        <v>0</v>
      </c>
      <c r="G21" s="83">
        <v>0</v>
      </c>
      <c r="H21" s="83">
        <v>69917.23</v>
      </c>
      <c r="I21" s="83">
        <v>30031.200000000001</v>
      </c>
      <c r="J21" s="83">
        <v>0</v>
      </c>
      <c r="K21" s="83">
        <v>0</v>
      </c>
      <c r="L21" s="83">
        <f t="shared" si="10"/>
        <v>99948.43</v>
      </c>
    </row>
    <row r="22" spans="1:12" x14ac:dyDescent="0.25">
      <c r="A22" s="82" t="s">
        <v>113</v>
      </c>
      <c r="B22" s="83">
        <v>1139.29</v>
      </c>
      <c r="C22" s="83">
        <v>0</v>
      </c>
      <c r="D22" s="83">
        <v>0</v>
      </c>
      <c r="E22" s="83">
        <v>0</v>
      </c>
      <c r="F22" s="83">
        <v>0</v>
      </c>
      <c r="G22" s="83">
        <v>861.35</v>
      </c>
      <c r="H22" s="83">
        <v>146.07000000000002</v>
      </c>
      <c r="I22" s="83">
        <v>0</v>
      </c>
      <c r="J22" s="83">
        <v>0</v>
      </c>
      <c r="K22" s="83">
        <v>7478.3799999999992</v>
      </c>
      <c r="L22" s="83">
        <f t="shared" si="10"/>
        <v>9625.09</v>
      </c>
    </row>
    <row r="23" spans="1:12" x14ac:dyDescent="0.25">
      <c r="A23" s="82" t="s">
        <v>111</v>
      </c>
      <c r="B23" s="83">
        <v>74572.409500000009</v>
      </c>
      <c r="C23" s="83">
        <v>4811.9185343275813</v>
      </c>
      <c r="D23" s="83">
        <v>11818.729999999981</v>
      </c>
      <c r="E23" s="83">
        <v>9778.3100000000013</v>
      </c>
      <c r="F23" s="83">
        <v>734.36</v>
      </c>
      <c r="G23" s="83">
        <v>47528.79</v>
      </c>
      <c r="H23" s="83">
        <v>20496.609999999997</v>
      </c>
      <c r="I23" s="83">
        <v>1918.34</v>
      </c>
      <c r="J23" s="83">
        <v>3828.88</v>
      </c>
      <c r="K23" s="83">
        <v>0</v>
      </c>
      <c r="L23" s="83">
        <f t="shared" si="10"/>
        <v>175488.34803432756</v>
      </c>
    </row>
    <row r="24" spans="1:12" x14ac:dyDescent="0.25">
      <c r="A24" s="83"/>
      <c r="B24" s="83"/>
      <c r="C24" s="83"/>
      <c r="D24" s="83"/>
      <c r="E24" s="83"/>
      <c r="F24" s="83"/>
      <c r="G24" s="83"/>
      <c r="H24" s="83"/>
      <c r="I24" s="83"/>
      <c r="J24" s="83"/>
      <c r="K24" s="83"/>
      <c r="L24" s="83"/>
    </row>
    <row r="25" spans="1:12" s="81" customFormat="1" x14ac:dyDescent="0.25">
      <c r="A25" s="79" t="s">
        <v>8</v>
      </c>
      <c r="B25" s="80">
        <f>B6+B15</f>
        <v>549986.4993981017</v>
      </c>
      <c r="C25" s="80">
        <f t="shared" ref="C25:K25" si="11">C6+C15</f>
        <v>1356029.4723478965</v>
      </c>
      <c r="D25" s="80">
        <f t="shared" si="11"/>
        <v>1437282.2700000014</v>
      </c>
      <c r="E25" s="80">
        <f t="shared" si="11"/>
        <v>16518.29</v>
      </c>
      <c r="F25" s="80">
        <f>F6+F15</f>
        <v>56055.14</v>
      </c>
      <c r="G25" s="80">
        <f t="shared" si="11"/>
        <v>64224.600000000006</v>
      </c>
      <c r="H25" s="80">
        <f t="shared" si="11"/>
        <v>90559.91</v>
      </c>
      <c r="I25" s="80">
        <f t="shared" si="11"/>
        <v>54640.61</v>
      </c>
      <c r="J25" s="80">
        <f t="shared" si="11"/>
        <v>25174.63</v>
      </c>
      <c r="K25" s="80">
        <f t="shared" si="11"/>
        <v>7478.3799999999992</v>
      </c>
      <c r="L25" s="80">
        <f>L6+L15</f>
        <v>3657949.8017460001</v>
      </c>
    </row>
    <row r="28" spans="1:12" x14ac:dyDescent="0.25">
      <c r="B28" s="135">
        <v>2015</v>
      </c>
      <c r="C28" s="136"/>
      <c r="D28" s="136"/>
      <c r="E28" s="136"/>
      <c r="F28" s="136"/>
      <c r="G28" s="136"/>
      <c r="H28" s="136"/>
      <c r="I28" s="136"/>
      <c r="J28" s="136"/>
      <c r="K28" s="136"/>
      <c r="L28" s="137"/>
    </row>
    <row r="29" spans="1:12" ht="5.0999999999999996" customHeight="1" x14ac:dyDescent="0.25"/>
    <row r="30" spans="1:12" x14ac:dyDescent="0.25">
      <c r="B30" s="78" t="s">
        <v>114</v>
      </c>
      <c r="C30" s="78" t="s">
        <v>77</v>
      </c>
      <c r="D30" s="78" t="s">
        <v>79</v>
      </c>
      <c r="E30" s="78" t="s">
        <v>115</v>
      </c>
      <c r="F30" s="78" t="s">
        <v>37</v>
      </c>
      <c r="G30" s="78" t="s">
        <v>78</v>
      </c>
      <c r="H30" s="78" t="s">
        <v>81</v>
      </c>
      <c r="I30" s="78" t="s">
        <v>101</v>
      </c>
      <c r="J30" s="78" t="s">
        <v>102</v>
      </c>
      <c r="K30" s="78" t="s">
        <v>103</v>
      </c>
      <c r="L30" s="78" t="s">
        <v>116</v>
      </c>
    </row>
    <row r="31" spans="1:12" x14ac:dyDescent="0.25">
      <c r="A31" s="79" t="s">
        <v>104</v>
      </c>
      <c r="B31" s="80">
        <f>SUM(B32:B38)</f>
        <v>695965.07613699185</v>
      </c>
      <c r="C31" s="80">
        <f t="shared" ref="C31:K31" si="12">SUM(C32:C38)</f>
        <v>1947007.4939399702</v>
      </c>
      <c r="D31" s="80">
        <f t="shared" si="12"/>
        <v>1527259.6500000004</v>
      </c>
      <c r="E31" s="80">
        <f t="shared" si="12"/>
        <v>198830.38000000003</v>
      </c>
      <c r="F31" s="80">
        <f t="shared" si="12"/>
        <v>26383.960000000003</v>
      </c>
      <c r="G31" s="80">
        <f t="shared" si="12"/>
        <v>0</v>
      </c>
      <c r="H31" s="80">
        <f t="shared" si="12"/>
        <v>0</v>
      </c>
      <c r="I31" s="80">
        <f t="shared" si="12"/>
        <v>58906.45</v>
      </c>
      <c r="J31" s="80">
        <f t="shared" si="12"/>
        <v>-4826.05</v>
      </c>
      <c r="K31" s="80">
        <f t="shared" si="12"/>
        <v>0</v>
      </c>
      <c r="L31" s="80">
        <f>SUM(B31:K31)</f>
        <v>4449526.9600769626</v>
      </c>
    </row>
    <row r="32" spans="1:12" x14ac:dyDescent="0.25">
      <c r="A32" s="82" t="s">
        <v>105</v>
      </c>
      <c r="B32" s="83">
        <v>101030.29000000001</v>
      </c>
      <c r="C32" s="83">
        <v>145141.97230878391</v>
      </c>
      <c r="D32" s="83">
        <v>125909.10000000008</v>
      </c>
      <c r="E32" s="83">
        <v>155.79</v>
      </c>
      <c r="F32" s="83">
        <v>0</v>
      </c>
      <c r="G32" s="83">
        <v>0</v>
      </c>
      <c r="H32" s="83">
        <v>0</v>
      </c>
      <c r="I32" s="83">
        <v>0</v>
      </c>
      <c r="J32" s="83">
        <v>0</v>
      </c>
      <c r="K32" s="83">
        <v>0</v>
      </c>
      <c r="L32" s="83">
        <f>SUM(B32:K32)</f>
        <v>372237.15230878396</v>
      </c>
    </row>
    <row r="33" spans="1:12" x14ac:dyDescent="0.25">
      <c r="A33" s="82" t="s">
        <v>106</v>
      </c>
      <c r="B33" s="83">
        <v>0</v>
      </c>
      <c r="C33" s="83">
        <v>165832.48220715299</v>
      </c>
      <c r="D33" s="83">
        <v>98273.300000000119</v>
      </c>
      <c r="E33" s="83">
        <v>13589.749999999995</v>
      </c>
      <c r="F33" s="83">
        <v>0</v>
      </c>
      <c r="G33" s="83">
        <v>0</v>
      </c>
      <c r="H33" s="83">
        <v>0</v>
      </c>
      <c r="I33" s="83">
        <v>240.4</v>
      </c>
      <c r="J33" s="83">
        <v>0</v>
      </c>
      <c r="K33" s="83">
        <v>0</v>
      </c>
      <c r="L33" s="83">
        <f t="shared" ref="L33:L38" si="13">SUM(B33:K33)</f>
        <v>277935.93220715312</v>
      </c>
    </row>
    <row r="34" spans="1:12" x14ac:dyDescent="0.25">
      <c r="A34" s="82" t="s">
        <v>107</v>
      </c>
      <c r="B34" s="83">
        <v>0</v>
      </c>
      <c r="C34" s="83">
        <v>27572.086498817458</v>
      </c>
      <c r="D34" s="83">
        <v>21904.59</v>
      </c>
      <c r="E34" s="83">
        <v>799.94000000000017</v>
      </c>
      <c r="F34" s="83">
        <v>0</v>
      </c>
      <c r="G34" s="83">
        <v>0</v>
      </c>
      <c r="H34" s="83">
        <v>0</v>
      </c>
      <c r="I34" s="83">
        <v>0</v>
      </c>
      <c r="J34" s="83">
        <v>0</v>
      </c>
      <c r="K34" s="83">
        <v>0</v>
      </c>
      <c r="L34" s="83">
        <f t="shared" si="13"/>
        <v>50276.616498817457</v>
      </c>
    </row>
    <row r="35" spans="1:12" x14ac:dyDescent="0.25">
      <c r="A35" s="82" t="s">
        <v>108</v>
      </c>
      <c r="B35" s="83">
        <v>0</v>
      </c>
      <c r="C35" s="83">
        <v>104595.40881244764</v>
      </c>
      <c r="D35" s="83">
        <v>492051.85000000062</v>
      </c>
      <c r="E35" s="83">
        <v>137982.83000000007</v>
      </c>
      <c r="F35" s="83">
        <v>3555.1299999999997</v>
      </c>
      <c r="G35" s="83">
        <v>0</v>
      </c>
      <c r="H35" s="83">
        <v>0</v>
      </c>
      <c r="I35" s="83">
        <v>0</v>
      </c>
      <c r="J35" s="83">
        <v>0</v>
      </c>
      <c r="K35" s="83">
        <v>0</v>
      </c>
      <c r="L35" s="83">
        <f t="shared" si="13"/>
        <v>738185.21881244832</v>
      </c>
    </row>
    <row r="36" spans="1:12" x14ac:dyDescent="0.25">
      <c r="A36" s="82" t="s">
        <v>109</v>
      </c>
      <c r="B36" s="83">
        <v>0</v>
      </c>
      <c r="C36" s="83">
        <v>250487.16188471561</v>
      </c>
      <c r="D36" s="83">
        <v>191967.24000000005</v>
      </c>
      <c r="E36" s="83">
        <v>18805.739999999994</v>
      </c>
      <c r="F36" s="83">
        <v>0</v>
      </c>
      <c r="G36" s="83">
        <v>0</v>
      </c>
      <c r="H36" s="83">
        <v>0</v>
      </c>
      <c r="I36" s="83">
        <v>0</v>
      </c>
      <c r="J36" s="83">
        <v>0</v>
      </c>
      <c r="K36" s="83">
        <v>0</v>
      </c>
      <c r="L36" s="83">
        <f t="shared" si="13"/>
        <v>461260.14188471565</v>
      </c>
    </row>
    <row r="37" spans="1:12" x14ac:dyDescent="0.25">
      <c r="A37" s="82" t="s">
        <v>110</v>
      </c>
      <c r="B37" s="83">
        <v>0</v>
      </c>
      <c r="C37" s="83">
        <v>404770.07192105224</v>
      </c>
      <c r="D37" s="83">
        <v>110.25</v>
      </c>
      <c r="E37" s="83">
        <v>0</v>
      </c>
      <c r="F37" s="83">
        <v>0</v>
      </c>
      <c r="G37" s="83">
        <v>0</v>
      </c>
      <c r="H37" s="83">
        <v>0</v>
      </c>
      <c r="I37" s="83">
        <v>0</v>
      </c>
      <c r="J37" s="83">
        <v>0</v>
      </c>
      <c r="K37" s="83">
        <v>0</v>
      </c>
      <c r="L37" s="83">
        <f t="shared" si="13"/>
        <v>404880.32192105224</v>
      </c>
    </row>
    <row r="38" spans="1:12" x14ac:dyDescent="0.25">
      <c r="A38" s="82" t="s">
        <v>111</v>
      </c>
      <c r="B38" s="83">
        <v>594934.78613699181</v>
      </c>
      <c r="C38" s="83">
        <v>848608.3103070003</v>
      </c>
      <c r="D38" s="83">
        <v>597043.31999999972</v>
      </c>
      <c r="E38" s="83">
        <v>27496.329999999994</v>
      </c>
      <c r="F38" s="83">
        <v>22828.83</v>
      </c>
      <c r="G38" s="83">
        <v>0</v>
      </c>
      <c r="H38" s="83">
        <v>0</v>
      </c>
      <c r="I38" s="83">
        <v>58666.049999999996</v>
      </c>
      <c r="J38" s="83">
        <v>-4826.05</v>
      </c>
      <c r="K38" s="83">
        <v>0</v>
      </c>
      <c r="L38" s="83">
        <f t="shared" si="13"/>
        <v>2144751.5764439921</v>
      </c>
    </row>
    <row r="39" spans="1:12" x14ac:dyDescent="0.25">
      <c r="A39" s="82"/>
      <c r="B39" s="83"/>
      <c r="C39" s="83"/>
      <c r="D39" s="83"/>
      <c r="E39" s="83"/>
      <c r="F39" s="83"/>
      <c r="G39" s="83"/>
      <c r="H39" s="83"/>
      <c r="I39" s="83"/>
      <c r="J39" s="83"/>
      <c r="K39" s="83"/>
      <c r="L39" s="83"/>
    </row>
    <row r="40" spans="1:12" x14ac:dyDescent="0.25">
      <c r="A40" s="79" t="s">
        <v>112</v>
      </c>
      <c r="B40" s="80">
        <f>SUM(B41:B48)</f>
        <v>239447.38299999997</v>
      </c>
      <c r="C40" s="80">
        <f t="shared" ref="C40:K40" si="14">SUM(C41:C48)</f>
        <v>280756.0624164833</v>
      </c>
      <c r="D40" s="80">
        <f t="shared" si="14"/>
        <v>130978.63999999998</v>
      </c>
      <c r="E40" s="80">
        <f t="shared" si="14"/>
        <v>17059.179999999997</v>
      </c>
      <c r="F40" s="80">
        <f t="shared" si="14"/>
        <v>18608.210000000006</v>
      </c>
      <c r="G40" s="80">
        <f t="shared" si="14"/>
        <v>10870.49</v>
      </c>
      <c r="H40" s="80">
        <f t="shared" si="14"/>
        <v>1534.52</v>
      </c>
      <c r="I40" s="80">
        <f t="shared" si="14"/>
        <v>32612.84</v>
      </c>
      <c r="J40" s="80">
        <f t="shared" si="14"/>
        <v>1416.4800000000002</v>
      </c>
      <c r="K40" s="80">
        <f t="shared" si="14"/>
        <v>10690.879999999997</v>
      </c>
      <c r="L40" s="80">
        <f>SUM(B40:K40)</f>
        <v>743974.6854164832</v>
      </c>
    </row>
    <row r="41" spans="1:12" x14ac:dyDescent="0.25">
      <c r="A41" s="82" t="s">
        <v>105</v>
      </c>
      <c r="B41" s="83">
        <v>0</v>
      </c>
      <c r="C41" s="83">
        <v>1808.9621675410076</v>
      </c>
      <c r="D41" s="83">
        <v>0</v>
      </c>
      <c r="E41" s="83">
        <v>0</v>
      </c>
      <c r="F41" s="83">
        <v>0</v>
      </c>
      <c r="G41" s="83">
        <v>0</v>
      </c>
      <c r="H41" s="83">
        <v>0</v>
      </c>
      <c r="I41" s="83">
        <v>0</v>
      </c>
      <c r="J41" s="83">
        <v>0</v>
      </c>
      <c r="K41" s="83">
        <v>0</v>
      </c>
      <c r="L41" s="83">
        <f>SUM(B41:K41)</f>
        <v>1808.9621675410076</v>
      </c>
    </row>
    <row r="42" spans="1:12" x14ac:dyDescent="0.25">
      <c r="A42" s="82" t="s">
        <v>106</v>
      </c>
      <c r="B42" s="83">
        <v>0</v>
      </c>
      <c r="C42" s="83">
        <v>256.92296254095243</v>
      </c>
      <c r="D42" s="83">
        <v>0</v>
      </c>
      <c r="E42" s="83">
        <v>516.74</v>
      </c>
      <c r="F42" s="83">
        <v>0</v>
      </c>
      <c r="G42" s="83">
        <v>0</v>
      </c>
      <c r="H42" s="83">
        <v>0</v>
      </c>
      <c r="I42" s="83">
        <v>0</v>
      </c>
      <c r="J42" s="83">
        <v>0</v>
      </c>
      <c r="K42" s="83">
        <v>0</v>
      </c>
      <c r="L42" s="83">
        <f t="shared" ref="L42:L48" si="15">SUM(B42:K42)</f>
        <v>773.66296254095244</v>
      </c>
    </row>
    <row r="43" spans="1:12" x14ac:dyDescent="0.25">
      <c r="A43" s="82" t="s">
        <v>107</v>
      </c>
      <c r="B43" s="83"/>
      <c r="C43" s="83">
        <v>63.486032544293352</v>
      </c>
      <c r="D43" s="83"/>
      <c r="E43" s="83"/>
      <c r="F43" s="83"/>
      <c r="G43" s="83"/>
      <c r="H43" s="83"/>
      <c r="I43" s="83"/>
      <c r="J43" s="83"/>
      <c r="K43" s="83"/>
      <c r="L43" s="83">
        <f t="shared" si="15"/>
        <v>63.486032544293352</v>
      </c>
    </row>
    <row r="44" spans="1:12" x14ac:dyDescent="0.25">
      <c r="A44" s="82" t="s">
        <v>108</v>
      </c>
      <c r="B44" s="83">
        <v>368.75000000000193</v>
      </c>
      <c r="C44" s="83">
        <v>180.46148992959314</v>
      </c>
      <c r="D44" s="83">
        <v>-647.70000000000005</v>
      </c>
      <c r="E44" s="83">
        <v>45.7</v>
      </c>
      <c r="F44" s="83">
        <v>1622.7500000000002</v>
      </c>
      <c r="G44" s="83">
        <v>0</v>
      </c>
      <c r="H44" s="83">
        <v>0</v>
      </c>
      <c r="I44" s="83">
        <v>0</v>
      </c>
      <c r="J44" s="83">
        <v>0</v>
      </c>
      <c r="K44" s="83">
        <v>0</v>
      </c>
      <c r="L44" s="83">
        <f t="shared" si="15"/>
        <v>1569.9614899295952</v>
      </c>
    </row>
    <row r="45" spans="1:12" x14ac:dyDescent="0.25">
      <c r="A45" s="82" t="s">
        <v>109</v>
      </c>
      <c r="B45" s="83">
        <v>0</v>
      </c>
      <c r="C45" s="83">
        <v>159.14928606810761</v>
      </c>
      <c r="D45" s="83">
        <v>24.92</v>
      </c>
      <c r="E45" s="83">
        <v>137.62</v>
      </c>
      <c r="F45" s="83">
        <v>161.44999999999999</v>
      </c>
      <c r="G45" s="83">
        <v>0</v>
      </c>
      <c r="H45" s="83">
        <v>0</v>
      </c>
      <c r="I45" s="83">
        <v>0</v>
      </c>
      <c r="J45" s="83">
        <v>0</v>
      </c>
      <c r="K45" s="83">
        <v>0</v>
      </c>
      <c r="L45" s="83">
        <f t="shared" si="15"/>
        <v>483.13928606810759</v>
      </c>
    </row>
    <row r="46" spans="1:12" x14ac:dyDescent="0.25">
      <c r="A46" s="82" t="s">
        <v>110</v>
      </c>
      <c r="B46" s="83">
        <v>0</v>
      </c>
      <c r="C46" s="83">
        <v>156991.074353234</v>
      </c>
      <c r="D46" s="83">
        <v>2219.37</v>
      </c>
      <c r="E46" s="83">
        <v>0</v>
      </c>
      <c r="F46" s="83">
        <v>1736.84</v>
      </c>
      <c r="G46" s="83">
        <v>0</v>
      </c>
      <c r="H46" s="83">
        <v>0</v>
      </c>
      <c r="I46" s="83">
        <v>30000</v>
      </c>
      <c r="J46" s="83">
        <v>0</v>
      </c>
      <c r="K46" s="83">
        <v>0</v>
      </c>
      <c r="L46" s="83">
        <f t="shared" si="15"/>
        <v>190947.28435323399</v>
      </c>
    </row>
    <row r="47" spans="1:12" x14ac:dyDescent="0.25">
      <c r="A47" s="82" t="s">
        <v>111</v>
      </c>
      <c r="B47" s="83">
        <v>239078.63299999997</v>
      </c>
      <c r="C47" s="83">
        <v>121004.53261404819</v>
      </c>
      <c r="D47" s="83">
        <v>129382.04999999999</v>
      </c>
      <c r="E47" s="83">
        <v>16359.119999999997</v>
      </c>
      <c r="F47" s="83">
        <v>14762.970000000007</v>
      </c>
      <c r="G47" s="83">
        <v>683.9899999999991</v>
      </c>
      <c r="H47" s="83">
        <v>0</v>
      </c>
      <c r="I47" s="83">
        <v>2612.8400000000011</v>
      </c>
      <c r="J47" s="83">
        <v>278.33000000000015</v>
      </c>
      <c r="K47" s="83">
        <v>6004.409999999998</v>
      </c>
      <c r="L47" s="83">
        <f t="shared" si="15"/>
        <v>530166.87561404821</v>
      </c>
    </row>
    <row r="48" spans="1:12" x14ac:dyDescent="0.25">
      <c r="A48" s="82" t="s">
        <v>113</v>
      </c>
      <c r="B48" s="83">
        <v>0</v>
      </c>
      <c r="C48" s="83">
        <v>291.47351057713308</v>
      </c>
      <c r="D48" s="83">
        <v>0</v>
      </c>
      <c r="E48" s="83">
        <v>0</v>
      </c>
      <c r="F48" s="83">
        <v>324.2</v>
      </c>
      <c r="G48" s="83">
        <v>10186.5</v>
      </c>
      <c r="H48" s="83">
        <v>1534.52</v>
      </c>
      <c r="I48" s="83">
        <v>0</v>
      </c>
      <c r="J48" s="83">
        <v>1138.1500000000001</v>
      </c>
      <c r="K48" s="83">
        <v>4686.4699999999993</v>
      </c>
      <c r="L48" s="83">
        <f t="shared" si="15"/>
        <v>18161.313510577133</v>
      </c>
    </row>
    <row r="49" spans="1:12" x14ac:dyDescent="0.25">
      <c r="A49" s="83"/>
      <c r="B49" s="83"/>
      <c r="C49" s="83"/>
      <c r="D49" s="83"/>
      <c r="E49" s="83"/>
      <c r="F49" s="83"/>
      <c r="G49" s="83"/>
      <c r="H49" s="83"/>
      <c r="I49" s="83"/>
      <c r="J49" s="83"/>
      <c r="K49" s="83"/>
      <c r="L49" s="83"/>
    </row>
    <row r="50" spans="1:12" x14ac:dyDescent="0.25">
      <c r="A50" s="79" t="s">
        <v>8</v>
      </c>
      <c r="B50" s="80">
        <f>B31+B40</f>
        <v>935412.45913699176</v>
      </c>
      <c r="C50" s="80">
        <f t="shared" ref="C50:L50" si="16">C31+C40</f>
        <v>2227763.5563564533</v>
      </c>
      <c r="D50" s="80">
        <f t="shared" si="16"/>
        <v>1658238.2900000003</v>
      </c>
      <c r="E50" s="80">
        <f t="shared" si="16"/>
        <v>215889.56000000003</v>
      </c>
      <c r="F50" s="80">
        <f t="shared" si="16"/>
        <v>44992.170000000013</v>
      </c>
      <c r="G50" s="80">
        <f t="shared" si="16"/>
        <v>10870.49</v>
      </c>
      <c r="H50" s="80">
        <f t="shared" si="16"/>
        <v>1534.52</v>
      </c>
      <c r="I50" s="80">
        <f t="shared" si="16"/>
        <v>91519.29</v>
      </c>
      <c r="J50" s="80">
        <f t="shared" si="16"/>
        <v>-3409.5699999999997</v>
      </c>
      <c r="K50" s="80">
        <f t="shared" si="16"/>
        <v>10690.879999999997</v>
      </c>
      <c r="L50" s="80">
        <f t="shared" si="16"/>
        <v>5193501.6454934459</v>
      </c>
    </row>
    <row r="53" spans="1:12" x14ac:dyDescent="0.25">
      <c r="B53" s="135" t="s">
        <v>117</v>
      </c>
      <c r="C53" s="136"/>
      <c r="D53" s="136"/>
      <c r="E53" s="136"/>
      <c r="F53" s="136"/>
      <c r="G53" s="136"/>
      <c r="H53" s="136"/>
      <c r="I53" s="136"/>
      <c r="J53" s="136"/>
      <c r="K53" s="136"/>
      <c r="L53" s="137"/>
    </row>
    <row r="54" spans="1:12" ht="5.0999999999999996" customHeight="1" x14ac:dyDescent="0.25"/>
    <row r="55" spans="1:12" x14ac:dyDescent="0.25">
      <c r="B55" s="78" t="s">
        <v>114</v>
      </c>
      <c r="C55" s="78" t="s">
        <v>77</v>
      </c>
      <c r="D55" s="78" t="s">
        <v>79</v>
      </c>
      <c r="E55" s="78" t="s">
        <v>115</v>
      </c>
      <c r="F55" s="78" t="s">
        <v>37</v>
      </c>
      <c r="G55" s="78" t="s">
        <v>78</v>
      </c>
      <c r="H55" s="78" t="s">
        <v>81</v>
      </c>
      <c r="I55" s="78" t="s">
        <v>101</v>
      </c>
      <c r="J55" s="78" t="s">
        <v>102</v>
      </c>
      <c r="K55" s="78" t="s">
        <v>103</v>
      </c>
      <c r="L55" s="78" t="s">
        <v>116</v>
      </c>
    </row>
    <row r="56" spans="1:12" x14ac:dyDescent="0.25">
      <c r="A56" s="85" t="s">
        <v>104</v>
      </c>
      <c r="B56" s="80">
        <f>SUM(B57:B63)</f>
        <v>1068870.2999999998</v>
      </c>
      <c r="C56" s="80">
        <f t="shared" ref="C56:K56" si="17">SUM(C57:C63)</f>
        <v>835344.92228790733</v>
      </c>
      <c r="D56" s="80">
        <f t="shared" si="17"/>
        <v>2007268.4099999806</v>
      </c>
      <c r="E56" s="80">
        <f t="shared" si="17"/>
        <v>0</v>
      </c>
      <c r="F56" s="80">
        <f t="shared" si="17"/>
        <v>0</v>
      </c>
      <c r="G56" s="80">
        <f t="shared" si="17"/>
        <v>0</v>
      </c>
      <c r="H56" s="80">
        <f t="shared" si="17"/>
        <v>0</v>
      </c>
      <c r="I56" s="80">
        <f t="shared" si="17"/>
        <v>0</v>
      </c>
      <c r="J56" s="80">
        <f t="shared" si="17"/>
        <v>0</v>
      </c>
      <c r="K56" s="80">
        <f t="shared" si="17"/>
        <v>0</v>
      </c>
      <c r="L56" s="80">
        <f>SUM(B56:K56)</f>
        <v>3911483.6322878879</v>
      </c>
    </row>
    <row r="57" spans="1:12" x14ac:dyDescent="0.25">
      <c r="A57" s="82" t="s">
        <v>105</v>
      </c>
      <c r="B57" s="83">
        <v>44957.47</v>
      </c>
      <c r="C57" s="83">
        <v>61572.544085382244</v>
      </c>
      <c r="D57" s="83">
        <v>200212.60999999996</v>
      </c>
      <c r="E57" s="83">
        <v>0</v>
      </c>
      <c r="F57" s="83">
        <v>0</v>
      </c>
      <c r="G57" s="83">
        <v>0</v>
      </c>
      <c r="H57" s="83">
        <v>0</v>
      </c>
      <c r="I57" s="83">
        <v>0</v>
      </c>
      <c r="J57" s="83">
        <v>0</v>
      </c>
      <c r="K57" s="83">
        <v>0</v>
      </c>
      <c r="L57" s="83">
        <f>SUM(B57:K57)</f>
        <v>306742.62408538221</v>
      </c>
    </row>
    <row r="58" spans="1:12" x14ac:dyDescent="0.25">
      <c r="A58" s="82" t="s">
        <v>106</v>
      </c>
      <c r="B58" s="83">
        <v>0</v>
      </c>
      <c r="C58" s="83">
        <v>12658.078575796253</v>
      </c>
      <c r="D58" s="83">
        <v>123386.62999999971</v>
      </c>
      <c r="E58" s="83">
        <v>0</v>
      </c>
      <c r="F58" s="83">
        <v>0</v>
      </c>
      <c r="G58" s="83">
        <v>0</v>
      </c>
      <c r="H58" s="83">
        <v>0</v>
      </c>
      <c r="I58" s="83">
        <v>0</v>
      </c>
      <c r="J58" s="83">
        <v>0</v>
      </c>
      <c r="K58" s="83">
        <v>0</v>
      </c>
      <c r="L58" s="83">
        <f t="shared" ref="L58:L63" si="18">SUM(B58:K58)</f>
        <v>136044.70857579596</v>
      </c>
    </row>
    <row r="59" spans="1:12" x14ac:dyDescent="0.25">
      <c r="A59" s="82" t="s">
        <v>107</v>
      </c>
      <c r="B59" s="83">
        <v>0</v>
      </c>
      <c r="C59" s="83">
        <v>4841.4087160163263</v>
      </c>
      <c r="D59" s="83">
        <v>21213.550000000061</v>
      </c>
      <c r="E59" s="83">
        <v>0</v>
      </c>
      <c r="F59" s="83">
        <v>0</v>
      </c>
      <c r="G59" s="83">
        <v>0</v>
      </c>
      <c r="H59" s="83">
        <v>0</v>
      </c>
      <c r="I59" s="83">
        <v>0</v>
      </c>
      <c r="J59" s="83">
        <v>0</v>
      </c>
      <c r="K59" s="83">
        <v>0</v>
      </c>
      <c r="L59" s="83">
        <f t="shared" si="18"/>
        <v>26054.958716016386</v>
      </c>
    </row>
    <row r="60" spans="1:12" x14ac:dyDescent="0.25">
      <c r="A60" s="82" t="s">
        <v>108</v>
      </c>
      <c r="B60" s="83">
        <v>0.40000000000000036</v>
      </c>
      <c r="C60" s="83">
        <v>64111.262934907376</v>
      </c>
      <c r="D60" s="83">
        <v>835884.31999998086</v>
      </c>
      <c r="E60" s="83">
        <v>0</v>
      </c>
      <c r="F60" s="83">
        <v>0</v>
      </c>
      <c r="G60" s="83">
        <v>0</v>
      </c>
      <c r="H60" s="83">
        <v>0</v>
      </c>
      <c r="I60" s="83">
        <v>0</v>
      </c>
      <c r="J60" s="83">
        <v>0</v>
      </c>
      <c r="K60" s="83">
        <v>0</v>
      </c>
      <c r="L60" s="83">
        <f t="shared" si="18"/>
        <v>899995.98293488822</v>
      </c>
    </row>
    <row r="61" spans="1:12" x14ac:dyDescent="0.25">
      <c r="A61" s="82" t="s">
        <v>109</v>
      </c>
      <c r="B61" s="83">
        <v>3582.5600000000004</v>
      </c>
      <c r="C61" s="83">
        <v>79868.298481725942</v>
      </c>
      <c r="D61" s="83">
        <v>138417.99999999994</v>
      </c>
      <c r="E61" s="83">
        <v>0</v>
      </c>
      <c r="F61" s="83">
        <v>0</v>
      </c>
      <c r="G61" s="83">
        <v>0</v>
      </c>
      <c r="H61" s="83">
        <v>0</v>
      </c>
      <c r="I61" s="83">
        <v>0</v>
      </c>
      <c r="J61" s="83">
        <v>0</v>
      </c>
      <c r="K61" s="83">
        <v>0</v>
      </c>
      <c r="L61" s="83">
        <f t="shared" si="18"/>
        <v>221868.85848172588</v>
      </c>
    </row>
    <row r="62" spans="1:12" x14ac:dyDescent="0.25">
      <c r="A62" s="82" t="s">
        <v>110</v>
      </c>
      <c r="B62" s="83">
        <v>2460.23</v>
      </c>
      <c r="C62" s="83">
        <v>134187.15397622177</v>
      </c>
      <c r="D62" s="83">
        <v>11653.559999999969</v>
      </c>
      <c r="E62" s="83">
        <v>0</v>
      </c>
      <c r="F62" s="83">
        <v>0</v>
      </c>
      <c r="G62" s="83">
        <v>0</v>
      </c>
      <c r="H62" s="83">
        <v>0</v>
      </c>
      <c r="I62" s="83">
        <v>0</v>
      </c>
      <c r="J62" s="83">
        <v>0</v>
      </c>
      <c r="K62" s="83">
        <v>0</v>
      </c>
      <c r="L62" s="83">
        <f t="shared" si="18"/>
        <v>148300.94397622175</v>
      </c>
    </row>
    <row r="63" spans="1:12" x14ac:dyDescent="0.25">
      <c r="A63" s="82" t="s">
        <v>111</v>
      </c>
      <c r="B63" s="83">
        <v>1017869.6399999999</v>
      </c>
      <c r="C63" s="83">
        <v>478106.17551785742</v>
      </c>
      <c r="D63" s="83">
        <v>676499.74</v>
      </c>
      <c r="E63" s="83">
        <v>0</v>
      </c>
      <c r="F63" s="83">
        <v>0</v>
      </c>
      <c r="G63" s="83">
        <v>0</v>
      </c>
      <c r="H63" s="83">
        <v>0</v>
      </c>
      <c r="I63" s="83">
        <v>0</v>
      </c>
      <c r="J63" s="83">
        <v>0</v>
      </c>
      <c r="K63" s="83">
        <v>0</v>
      </c>
      <c r="L63" s="83">
        <f t="shared" si="18"/>
        <v>2172475.555517857</v>
      </c>
    </row>
    <row r="64" spans="1:12" x14ac:dyDescent="0.25">
      <c r="A64" s="79"/>
      <c r="B64" s="80">
        <v>0</v>
      </c>
      <c r="C64" s="80">
        <v>0</v>
      </c>
      <c r="D64" s="80">
        <v>0</v>
      </c>
      <c r="E64" s="80">
        <v>0</v>
      </c>
      <c r="F64" s="80">
        <v>0</v>
      </c>
      <c r="G64" s="80"/>
      <c r="H64" s="80"/>
      <c r="I64" s="80">
        <v>0</v>
      </c>
      <c r="J64" s="80">
        <v>0</v>
      </c>
      <c r="K64" s="80">
        <v>0</v>
      </c>
      <c r="L64" s="80"/>
    </row>
    <row r="65" spans="1:12" x14ac:dyDescent="0.25">
      <c r="A65" s="85" t="s">
        <v>112</v>
      </c>
      <c r="B65" s="80">
        <f>SUM(B66:B72)</f>
        <v>207777.08000000005</v>
      </c>
      <c r="C65" s="80">
        <f t="shared" ref="C65:K65" si="19">SUM(C66:C72)</f>
        <v>105277.42741343219</v>
      </c>
      <c r="D65" s="80">
        <f t="shared" si="19"/>
        <v>0</v>
      </c>
      <c r="E65" s="80">
        <f t="shared" si="19"/>
        <v>0</v>
      </c>
      <c r="F65" s="80">
        <f t="shared" si="19"/>
        <v>7336.29</v>
      </c>
      <c r="G65" s="80">
        <f t="shared" si="19"/>
        <v>0</v>
      </c>
      <c r="H65" s="80">
        <f t="shared" si="19"/>
        <v>0</v>
      </c>
      <c r="I65" s="80">
        <f t="shared" si="19"/>
        <v>16432.84</v>
      </c>
      <c r="J65" s="80">
        <f t="shared" si="19"/>
        <v>0</v>
      </c>
      <c r="K65" s="80">
        <f t="shared" si="19"/>
        <v>0</v>
      </c>
      <c r="L65" s="80">
        <f>SUM(B65:K65)</f>
        <v>336823.63741343224</v>
      </c>
    </row>
    <row r="66" spans="1:12" x14ac:dyDescent="0.25">
      <c r="A66" s="82" t="s">
        <v>105</v>
      </c>
      <c r="B66" s="83">
        <v>6799.6900000000005</v>
      </c>
      <c r="C66" s="83">
        <v>6944.1214811124291</v>
      </c>
      <c r="D66" s="83">
        <v>0</v>
      </c>
      <c r="E66" s="83">
        <v>0</v>
      </c>
      <c r="F66" s="83">
        <v>0</v>
      </c>
      <c r="G66" s="83">
        <v>0</v>
      </c>
      <c r="H66" s="83">
        <v>0</v>
      </c>
      <c r="I66" s="83">
        <v>0</v>
      </c>
      <c r="J66" s="83">
        <v>0</v>
      </c>
      <c r="K66" s="83">
        <v>0</v>
      </c>
      <c r="L66" s="83">
        <f>SUM(B66:K66)</f>
        <v>13743.811481112429</v>
      </c>
    </row>
    <row r="67" spans="1:12" x14ac:dyDescent="0.25">
      <c r="A67" s="82" t="s">
        <v>106</v>
      </c>
      <c r="B67" s="83">
        <v>0</v>
      </c>
      <c r="C67" s="83">
        <v>2146.0368231611892</v>
      </c>
      <c r="D67" s="83">
        <v>0</v>
      </c>
      <c r="E67" s="83">
        <v>0</v>
      </c>
      <c r="F67" s="83">
        <v>0</v>
      </c>
      <c r="G67" s="83">
        <v>0</v>
      </c>
      <c r="H67" s="83">
        <v>0</v>
      </c>
      <c r="I67" s="83">
        <v>950</v>
      </c>
      <c r="J67" s="83">
        <v>0</v>
      </c>
      <c r="K67" s="83">
        <v>0</v>
      </c>
      <c r="L67" s="83">
        <f t="shared" ref="L67:L72" si="20">SUM(B67:K67)</f>
        <v>3096.0368231611892</v>
      </c>
    </row>
    <row r="68" spans="1:12" x14ac:dyDescent="0.25">
      <c r="A68" s="82" t="s">
        <v>107</v>
      </c>
      <c r="B68" s="83">
        <v>0</v>
      </c>
      <c r="C68" s="83">
        <v>1358.8846675642085</v>
      </c>
      <c r="D68" s="83">
        <v>0</v>
      </c>
      <c r="E68" s="83">
        <v>0</v>
      </c>
      <c r="F68" s="83">
        <v>0</v>
      </c>
      <c r="G68" s="83">
        <v>0</v>
      </c>
      <c r="H68" s="83">
        <v>0</v>
      </c>
      <c r="I68" s="83">
        <v>0</v>
      </c>
      <c r="J68" s="83">
        <v>0</v>
      </c>
      <c r="K68" s="83">
        <v>0</v>
      </c>
      <c r="L68" s="83">
        <f t="shared" si="20"/>
        <v>1358.8846675642085</v>
      </c>
    </row>
    <row r="69" spans="1:12" x14ac:dyDescent="0.25">
      <c r="A69" s="82" t="s">
        <v>108</v>
      </c>
      <c r="B69" s="83">
        <v>0</v>
      </c>
      <c r="C69" s="83">
        <v>11800.477867163769</v>
      </c>
      <c r="D69" s="83">
        <v>0</v>
      </c>
      <c r="E69" s="83">
        <v>0</v>
      </c>
      <c r="F69" s="83">
        <v>0</v>
      </c>
      <c r="G69" s="83">
        <v>0</v>
      </c>
      <c r="H69" s="83">
        <v>0</v>
      </c>
      <c r="I69" s="83">
        <v>0</v>
      </c>
      <c r="J69" s="83">
        <v>0</v>
      </c>
      <c r="K69" s="83">
        <v>0</v>
      </c>
      <c r="L69" s="83">
        <f t="shared" si="20"/>
        <v>11800.477867163769</v>
      </c>
    </row>
    <row r="70" spans="1:12" x14ac:dyDescent="0.25">
      <c r="A70" s="82" t="s">
        <v>109</v>
      </c>
      <c r="B70" s="83">
        <v>-838.23</v>
      </c>
      <c r="C70" s="83">
        <v>2746.6047526926268</v>
      </c>
      <c r="D70" s="83">
        <v>0</v>
      </c>
      <c r="E70" s="83">
        <v>0</v>
      </c>
      <c r="F70" s="83">
        <v>0</v>
      </c>
      <c r="G70" s="83">
        <v>0</v>
      </c>
      <c r="H70" s="83">
        <v>0</v>
      </c>
      <c r="I70" s="83">
        <v>0</v>
      </c>
      <c r="J70" s="83">
        <v>0</v>
      </c>
      <c r="K70" s="83">
        <v>0</v>
      </c>
      <c r="L70" s="83">
        <f t="shared" si="20"/>
        <v>1908.3747526926268</v>
      </c>
    </row>
    <row r="71" spans="1:12" x14ac:dyDescent="0.25">
      <c r="A71" s="82" t="s">
        <v>110</v>
      </c>
      <c r="B71" s="83">
        <v>-33</v>
      </c>
      <c r="C71" s="83">
        <v>1479.2812799352751</v>
      </c>
      <c r="D71" s="83">
        <v>0</v>
      </c>
      <c r="E71" s="83">
        <v>0</v>
      </c>
      <c r="F71" s="83">
        <v>0</v>
      </c>
      <c r="G71" s="83">
        <v>0</v>
      </c>
      <c r="H71" s="83">
        <v>0</v>
      </c>
      <c r="I71" s="83">
        <v>0</v>
      </c>
      <c r="J71" s="83">
        <v>0</v>
      </c>
      <c r="K71" s="83">
        <v>0</v>
      </c>
      <c r="L71" s="83">
        <f t="shared" si="20"/>
        <v>1446.2812799352751</v>
      </c>
    </row>
    <row r="72" spans="1:12" x14ac:dyDescent="0.25">
      <c r="A72" s="82" t="s">
        <v>111</v>
      </c>
      <c r="B72" s="83">
        <v>201848.62000000005</v>
      </c>
      <c r="C72" s="83">
        <v>78802.020541802689</v>
      </c>
      <c r="D72" s="83">
        <v>0</v>
      </c>
      <c r="E72" s="83">
        <v>0</v>
      </c>
      <c r="F72" s="83">
        <v>7336.29</v>
      </c>
      <c r="G72" s="83">
        <v>0</v>
      </c>
      <c r="H72" s="83">
        <v>0</v>
      </c>
      <c r="I72" s="83">
        <v>15482.84</v>
      </c>
      <c r="J72" s="83">
        <v>0</v>
      </c>
      <c r="K72" s="83">
        <v>0</v>
      </c>
      <c r="L72" s="83">
        <f t="shared" si="20"/>
        <v>303469.77054180275</v>
      </c>
    </row>
    <row r="73" spans="1:12" x14ac:dyDescent="0.25">
      <c r="A73" s="83"/>
      <c r="B73" s="83"/>
      <c r="C73" s="83"/>
      <c r="D73" s="83"/>
      <c r="E73" s="83"/>
      <c r="F73" s="83"/>
      <c r="G73" s="83"/>
      <c r="H73" s="83"/>
      <c r="I73" s="83"/>
      <c r="J73" s="83"/>
      <c r="K73" s="83"/>
      <c r="L73" s="83"/>
    </row>
    <row r="74" spans="1:12" x14ac:dyDescent="0.25">
      <c r="A74" s="79" t="s">
        <v>8</v>
      </c>
      <c r="B74" s="80">
        <f>B56+B65</f>
        <v>1276647.3799999999</v>
      </c>
      <c r="C74" s="80">
        <f>C56+C65</f>
        <v>940622.3497013395</v>
      </c>
      <c r="D74" s="80">
        <f t="shared" ref="D74:L74" si="21">D56+D65</f>
        <v>2007268.4099999806</v>
      </c>
      <c r="E74" s="80">
        <f t="shared" si="21"/>
        <v>0</v>
      </c>
      <c r="F74" s="80">
        <f t="shared" si="21"/>
        <v>7336.29</v>
      </c>
      <c r="G74" s="80">
        <f t="shared" si="21"/>
        <v>0</v>
      </c>
      <c r="H74" s="80">
        <f t="shared" si="21"/>
        <v>0</v>
      </c>
      <c r="I74" s="80">
        <f t="shared" si="21"/>
        <v>16432.84</v>
      </c>
      <c r="J74" s="80">
        <f t="shared" si="21"/>
        <v>0</v>
      </c>
      <c r="K74" s="80">
        <f t="shared" si="21"/>
        <v>0</v>
      </c>
      <c r="L74" s="80">
        <f t="shared" si="21"/>
        <v>4248307.2697013197</v>
      </c>
    </row>
    <row r="76" spans="1:12" s="86" customFormat="1" ht="45" customHeight="1" x14ac:dyDescent="0.25">
      <c r="B76" s="138" t="s">
        <v>118</v>
      </c>
      <c r="C76" s="138"/>
      <c r="D76" s="138"/>
      <c r="E76" s="138"/>
      <c r="F76" s="138"/>
      <c r="G76" s="138"/>
      <c r="H76" s="138"/>
      <c r="I76" s="138"/>
      <c r="J76" s="138"/>
      <c r="K76" s="138"/>
      <c r="L76" s="138"/>
    </row>
    <row r="78" spans="1:12" x14ac:dyDescent="0.25">
      <c r="A78" s="97" t="s">
        <v>130</v>
      </c>
      <c r="B78" s="98"/>
      <c r="C78" s="98"/>
      <c r="D78" s="98"/>
      <c r="E78" s="98"/>
      <c r="F78" s="98"/>
      <c r="G78" s="98"/>
      <c r="H78" s="98"/>
      <c r="I78" s="98"/>
      <c r="J78" s="98"/>
      <c r="K78" s="98"/>
      <c r="L78" s="98"/>
    </row>
    <row r="80" spans="1:12" x14ac:dyDescent="0.25">
      <c r="B80" s="43" t="s">
        <v>99</v>
      </c>
      <c r="C80" s="43" t="s">
        <v>77</v>
      </c>
      <c r="D80" s="43" t="s">
        <v>79</v>
      </c>
      <c r="E80" s="43" t="s">
        <v>100</v>
      </c>
      <c r="F80" s="43" t="s">
        <v>37</v>
      </c>
      <c r="G80" s="43" t="s">
        <v>78</v>
      </c>
      <c r="H80" s="43" t="s">
        <v>81</v>
      </c>
      <c r="I80" s="43" t="s">
        <v>101</v>
      </c>
      <c r="J80" s="43" t="s">
        <v>102</v>
      </c>
      <c r="K80" s="43" t="s">
        <v>103</v>
      </c>
      <c r="L80" s="43" t="s">
        <v>174</v>
      </c>
    </row>
    <row r="81" spans="1:12" s="52" customFormat="1" x14ac:dyDescent="0.25">
      <c r="A81" s="90" t="s">
        <v>175</v>
      </c>
      <c r="B81" s="88">
        <f>SUM(B15,B40,B65)</f>
        <v>522936.16249999998</v>
      </c>
      <c r="C81" s="88">
        <f t="shared" ref="C81:L81" si="22">SUM(C15,C40,C65)</f>
        <v>415113.2423801627</v>
      </c>
      <c r="D81" s="88">
        <f t="shared" si="22"/>
        <v>150756.42999999996</v>
      </c>
      <c r="E81" s="88">
        <f t="shared" si="22"/>
        <v>27990.809999999998</v>
      </c>
      <c r="F81" s="88">
        <f t="shared" si="22"/>
        <v>43117.160000000011</v>
      </c>
      <c r="G81" s="88">
        <f t="shared" si="22"/>
        <v>75095.090000000011</v>
      </c>
      <c r="H81" s="88">
        <f t="shared" si="22"/>
        <v>92094.430000000008</v>
      </c>
      <c r="I81" s="88">
        <f t="shared" si="22"/>
        <v>80995.22</v>
      </c>
      <c r="J81" s="88">
        <f t="shared" si="22"/>
        <v>5245.3600000000006</v>
      </c>
      <c r="K81" s="88">
        <f t="shared" si="22"/>
        <v>18169.259999999995</v>
      </c>
      <c r="L81" s="88">
        <f t="shared" si="22"/>
        <v>1431513.1648801626</v>
      </c>
    </row>
    <row r="82" spans="1:12" x14ac:dyDescent="0.25">
      <c r="A82" s="43" t="s">
        <v>176</v>
      </c>
      <c r="B82" s="51">
        <f>SUM(B25,B50,B74)</f>
        <v>2762046.3385350932</v>
      </c>
      <c r="C82" s="51">
        <f t="shared" ref="C82:L82" si="23">SUM(C25,C50,C74)</f>
        <v>4524415.3784056893</v>
      </c>
      <c r="D82" s="51">
        <f t="shared" si="23"/>
        <v>5102788.969999982</v>
      </c>
      <c r="E82" s="51">
        <f t="shared" si="23"/>
        <v>232407.85000000003</v>
      </c>
      <c r="F82" s="51">
        <f t="shared" si="23"/>
        <v>108383.6</v>
      </c>
      <c r="G82" s="51">
        <f t="shared" si="23"/>
        <v>75095.090000000011</v>
      </c>
      <c r="H82" s="51">
        <f t="shared" si="23"/>
        <v>92094.430000000008</v>
      </c>
      <c r="I82" s="51">
        <f t="shared" si="23"/>
        <v>162592.74</v>
      </c>
      <c r="J82" s="51">
        <f t="shared" si="23"/>
        <v>21765.06</v>
      </c>
      <c r="K82" s="51">
        <f t="shared" si="23"/>
        <v>18169.259999999995</v>
      </c>
      <c r="L82" s="51">
        <f t="shared" si="23"/>
        <v>13099758.716940764</v>
      </c>
    </row>
    <row r="83" spans="1:12" x14ac:dyDescent="0.25">
      <c r="A83" s="43" t="s">
        <v>177</v>
      </c>
      <c r="B83" s="89">
        <f>B81/B82</f>
        <v>0.18932925027512379</v>
      </c>
      <c r="C83" s="89">
        <f t="shared" ref="C83:L83" si="24">C81/C82</f>
        <v>9.1749586998893115E-2</v>
      </c>
      <c r="D83" s="89">
        <f t="shared" si="24"/>
        <v>2.9543928013938719E-2</v>
      </c>
      <c r="E83" s="89">
        <f t="shared" si="24"/>
        <v>0.12043831565930321</v>
      </c>
      <c r="F83" s="89">
        <f t="shared" si="24"/>
        <v>0.39781996538221659</v>
      </c>
      <c r="G83" s="89">
        <f t="shared" si="24"/>
        <v>1</v>
      </c>
      <c r="H83" s="89">
        <f t="shared" si="24"/>
        <v>1</v>
      </c>
      <c r="I83" s="89">
        <f t="shared" si="24"/>
        <v>0.49814782628055843</v>
      </c>
      <c r="J83" s="89">
        <f t="shared" si="24"/>
        <v>0.24099910590643905</v>
      </c>
      <c r="K83" s="89">
        <f t="shared" si="24"/>
        <v>1</v>
      </c>
      <c r="L83" s="89">
        <f t="shared" si="24"/>
        <v>0.10927782685255971</v>
      </c>
    </row>
    <row r="86" spans="1:12" ht="75" x14ac:dyDescent="0.25">
      <c r="A86" s="87" t="s">
        <v>128</v>
      </c>
      <c r="B86" s="51">
        <f>L81+'DtW Unres Commit'!C6+'DtW Unres Commit'!C7</f>
        <v>17531665.206015237</v>
      </c>
    </row>
    <row r="87" spans="1:12" ht="30" x14ac:dyDescent="0.25">
      <c r="A87" s="87" t="s">
        <v>129</v>
      </c>
      <c r="B87" s="89">
        <f>L81/B86</f>
        <v>8.1653006035559042E-2</v>
      </c>
    </row>
    <row r="88" spans="1:12" ht="30" x14ac:dyDescent="0.25">
      <c r="A88" s="87" t="s">
        <v>131</v>
      </c>
      <c r="B88" s="89">
        <f>(L81+'DtW Unres Commit'!C6)/'2014-2016 expenses'!B86</f>
        <v>0.37429733726198899</v>
      </c>
    </row>
  </sheetData>
  <mergeCells count="4">
    <mergeCell ref="B3:L3"/>
    <mergeCell ref="B28:L28"/>
    <mergeCell ref="B53:L53"/>
    <mergeCell ref="B76:L76"/>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1"/>
  <sheetViews>
    <sheetView workbookViewId="0"/>
  </sheetViews>
  <sheetFormatPr defaultColWidth="8.85546875" defaultRowHeight="15" x14ac:dyDescent="0.25"/>
  <cols>
    <col min="1" max="1" width="18.140625" style="43" customWidth="1"/>
    <col min="2" max="11" width="10.85546875" style="43" customWidth="1"/>
    <col min="12" max="16384" width="8.85546875" style="43"/>
  </cols>
  <sheetData>
    <row r="2" spans="1:11" x14ac:dyDescent="0.25">
      <c r="B2" s="140" t="s">
        <v>119</v>
      </c>
      <c r="C2" s="140"/>
      <c r="D2" s="140"/>
      <c r="E2" s="140"/>
      <c r="F2" s="140"/>
      <c r="G2" s="140"/>
      <c r="H2" s="140"/>
      <c r="I2" s="140"/>
      <c r="J2" s="140"/>
      <c r="K2" s="140"/>
    </row>
    <row r="4" spans="1:11" x14ac:dyDescent="0.25">
      <c r="B4" s="135" t="s">
        <v>120</v>
      </c>
      <c r="C4" s="136"/>
      <c r="D4" s="136"/>
      <c r="E4" s="136"/>
      <c r="F4" s="136"/>
      <c r="G4" s="136"/>
      <c r="H4" s="136"/>
      <c r="I4" s="136"/>
      <c r="J4" s="136"/>
      <c r="K4" s="137"/>
    </row>
    <row r="5" spans="1:11" ht="5.0999999999999996" customHeight="1" x14ac:dyDescent="0.25"/>
    <row r="6" spans="1:11" x14ac:dyDescent="0.25">
      <c r="B6" s="78" t="s">
        <v>114</v>
      </c>
      <c r="C6" s="78" t="s">
        <v>121</v>
      </c>
      <c r="D6" s="78" t="s">
        <v>79</v>
      </c>
      <c r="E6" s="78" t="s">
        <v>122</v>
      </c>
      <c r="F6" s="78" t="s">
        <v>37</v>
      </c>
      <c r="G6" s="78" t="s">
        <v>78</v>
      </c>
      <c r="H6" s="78" t="s">
        <v>81</v>
      </c>
      <c r="I6" s="78" t="s">
        <v>101</v>
      </c>
      <c r="J6" s="78" t="s">
        <v>113</v>
      </c>
      <c r="K6" s="78" t="s">
        <v>116</v>
      </c>
    </row>
    <row r="7" spans="1:11" x14ac:dyDescent="0.25">
      <c r="A7" s="79" t="s">
        <v>104</v>
      </c>
      <c r="B7" s="83">
        <v>373613.10083712114</v>
      </c>
      <c r="C7" s="83">
        <v>1332438.6029969866</v>
      </c>
      <c r="D7" s="83">
        <v>1598648.8972222228</v>
      </c>
      <c r="E7" s="83">
        <v>0</v>
      </c>
      <c r="F7" s="83">
        <v>67876</v>
      </c>
      <c r="G7" s="83">
        <v>0</v>
      </c>
      <c r="H7" s="83">
        <v>0</v>
      </c>
      <c r="I7" s="83">
        <v>45550</v>
      </c>
      <c r="J7" s="83">
        <v>0</v>
      </c>
      <c r="K7" s="80">
        <f>SUM(B7:J7)</f>
        <v>3418126.6010563304</v>
      </c>
    </row>
    <row r="8" spans="1:11" x14ac:dyDescent="0.25">
      <c r="A8" s="79" t="s">
        <v>112</v>
      </c>
      <c r="B8" s="83">
        <v>114344</v>
      </c>
      <c r="C8" s="83">
        <v>0</v>
      </c>
      <c r="D8" s="83">
        <v>0</v>
      </c>
      <c r="E8" s="83">
        <v>307785</v>
      </c>
      <c r="F8" s="83">
        <v>0</v>
      </c>
      <c r="G8" s="83">
        <v>228236</v>
      </c>
      <c r="H8" s="83">
        <v>187469</v>
      </c>
      <c r="I8" s="83">
        <v>0</v>
      </c>
      <c r="J8" s="83">
        <v>4000</v>
      </c>
      <c r="K8" s="80">
        <f>SUM(B8:J8)</f>
        <v>841834</v>
      </c>
    </row>
    <row r="9" spans="1:11" ht="5.0999999999999996" customHeight="1" x14ac:dyDescent="0.25">
      <c r="A9" s="83"/>
      <c r="B9" s="83"/>
      <c r="C9" s="83"/>
      <c r="D9" s="83"/>
      <c r="E9" s="83"/>
      <c r="F9" s="83"/>
      <c r="G9" s="83"/>
      <c r="H9" s="83"/>
      <c r="I9" s="83"/>
      <c r="J9" s="83"/>
      <c r="K9" s="83"/>
    </row>
    <row r="10" spans="1:11" x14ac:dyDescent="0.25">
      <c r="A10" s="79" t="s">
        <v>8</v>
      </c>
      <c r="B10" s="80">
        <f t="shared" ref="B10:K10" si="0">B7+B8</f>
        <v>487957.10083712114</v>
      </c>
      <c r="C10" s="80">
        <f t="shared" si="0"/>
        <v>1332438.6029969866</v>
      </c>
      <c r="D10" s="80">
        <f t="shared" si="0"/>
        <v>1598648.8972222228</v>
      </c>
      <c r="E10" s="80">
        <f t="shared" si="0"/>
        <v>307785</v>
      </c>
      <c r="F10" s="80">
        <f t="shared" si="0"/>
        <v>67876</v>
      </c>
      <c r="G10" s="80">
        <f t="shared" si="0"/>
        <v>228236</v>
      </c>
      <c r="H10" s="80">
        <f t="shared" si="0"/>
        <v>187469</v>
      </c>
      <c r="I10" s="80">
        <f t="shared" si="0"/>
        <v>45550</v>
      </c>
      <c r="J10" s="80">
        <f t="shared" si="0"/>
        <v>4000</v>
      </c>
      <c r="K10" s="80">
        <f t="shared" si="0"/>
        <v>4259960.6010563299</v>
      </c>
    </row>
    <row r="11" spans="1:11" ht="33.6" customHeight="1" x14ac:dyDescent="0.25">
      <c r="A11" s="79"/>
      <c r="B11" s="141" t="s">
        <v>123</v>
      </c>
      <c r="C11" s="141"/>
      <c r="D11" s="141"/>
      <c r="E11" s="141"/>
      <c r="F11" s="141"/>
      <c r="G11" s="141"/>
      <c r="H11" s="141"/>
      <c r="I11" s="141"/>
      <c r="J11" s="141"/>
      <c r="K11" s="141"/>
    </row>
    <row r="13" spans="1:11" x14ac:dyDescent="0.25">
      <c r="B13" s="135">
        <v>2017</v>
      </c>
      <c r="C13" s="136"/>
      <c r="D13" s="136"/>
      <c r="E13" s="136"/>
      <c r="F13" s="136"/>
      <c r="G13" s="136"/>
      <c r="H13" s="136"/>
      <c r="I13" s="136"/>
      <c r="J13" s="136"/>
      <c r="K13" s="137"/>
    </row>
    <row r="14" spans="1:11" ht="5.0999999999999996" customHeight="1" x14ac:dyDescent="0.25">
      <c r="B14" s="76"/>
      <c r="C14" s="76"/>
      <c r="D14" s="76"/>
      <c r="E14" s="76"/>
      <c r="F14" s="76"/>
      <c r="G14" s="76"/>
      <c r="H14" s="76"/>
      <c r="I14" s="76"/>
      <c r="J14" s="76"/>
      <c r="K14" s="76"/>
    </row>
    <row r="15" spans="1:11" x14ac:dyDescent="0.25">
      <c r="A15" s="77"/>
      <c r="B15" s="78" t="s">
        <v>124</v>
      </c>
      <c r="C15" s="78" t="s">
        <v>77</v>
      </c>
      <c r="D15" s="78" t="s">
        <v>125</v>
      </c>
      <c r="E15" s="78" t="s">
        <v>122</v>
      </c>
      <c r="F15" s="78" t="s">
        <v>37</v>
      </c>
      <c r="G15" s="78" t="s">
        <v>78</v>
      </c>
      <c r="H15" s="78" t="s">
        <v>81</v>
      </c>
      <c r="I15" s="78" t="s">
        <v>101</v>
      </c>
      <c r="J15" s="78" t="s">
        <v>113</v>
      </c>
      <c r="K15" s="78" t="s">
        <v>8</v>
      </c>
    </row>
    <row r="16" spans="1:11" s="81" customFormat="1" x14ac:dyDescent="0.25">
      <c r="A16" s="79" t="s">
        <v>104</v>
      </c>
      <c r="B16" s="83">
        <v>1127430.0567542333</v>
      </c>
      <c r="C16" s="83">
        <v>4090910.9455522597</v>
      </c>
      <c r="D16" s="83">
        <v>2155210.8611111119</v>
      </c>
      <c r="E16" s="83">
        <v>0</v>
      </c>
      <c r="F16" s="83">
        <v>106525.064</v>
      </c>
      <c r="G16" s="83">
        <v>100000</v>
      </c>
      <c r="H16" s="83">
        <v>0</v>
      </c>
      <c r="I16" s="83">
        <v>92924</v>
      </c>
      <c r="J16" s="83">
        <v>0</v>
      </c>
      <c r="K16" s="80">
        <f>SUM(B16:J16)</f>
        <v>7673000.9274176052</v>
      </c>
    </row>
    <row r="17" spans="1:11" s="81" customFormat="1" x14ac:dyDescent="0.25">
      <c r="A17" s="79" t="s">
        <v>112</v>
      </c>
      <c r="B17" s="83">
        <v>352767.81699999998</v>
      </c>
      <c r="C17" s="83">
        <v>1000000</v>
      </c>
      <c r="D17" s="83">
        <v>0</v>
      </c>
      <c r="E17" s="83">
        <v>0</v>
      </c>
      <c r="F17" s="83">
        <v>0</v>
      </c>
      <c r="G17" s="83">
        <v>2017844</v>
      </c>
      <c r="H17" s="83">
        <v>1500000</v>
      </c>
      <c r="I17" s="83">
        <v>0</v>
      </c>
      <c r="J17" s="83">
        <v>15000</v>
      </c>
      <c r="K17" s="80">
        <f>SUM(B17:J17)</f>
        <v>4885611.8169999998</v>
      </c>
    </row>
    <row r="18" spans="1:11" ht="5.0999999999999996" customHeight="1" x14ac:dyDescent="0.25">
      <c r="A18" s="83"/>
      <c r="B18" s="83"/>
      <c r="C18" s="83"/>
      <c r="D18" s="83"/>
      <c r="E18" s="83"/>
      <c r="F18" s="83"/>
      <c r="G18" s="83"/>
      <c r="H18" s="83"/>
      <c r="I18" s="83"/>
      <c r="J18" s="83"/>
      <c r="K18" s="83"/>
    </row>
    <row r="19" spans="1:11" s="81" customFormat="1" x14ac:dyDescent="0.25">
      <c r="A19" s="79" t="s">
        <v>8</v>
      </c>
      <c r="B19" s="80">
        <f t="shared" ref="B19:K19" si="1">B16+B17</f>
        <v>1480197.8737542334</v>
      </c>
      <c r="C19" s="80">
        <f t="shared" si="1"/>
        <v>5090910.9455522597</v>
      </c>
      <c r="D19" s="80">
        <f t="shared" si="1"/>
        <v>2155210.8611111119</v>
      </c>
      <c r="E19" s="80">
        <f t="shared" si="1"/>
        <v>0</v>
      </c>
      <c r="F19" s="80">
        <f t="shared" si="1"/>
        <v>106525.064</v>
      </c>
      <c r="G19" s="80">
        <f t="shared" si="1"/>
        <v>2117844</v>
      </c>
      <c r="H19" s="80">
        <f t="shared" si="1"/>
        <v>1500000</v>
      </c>
      <c r="I19" s="80">
        <f t="shared" si="1"/>
        <v>92924</v>
      </c>
      <c r="J19" s="80">
        <f t="shared" si="1"/>
        <v>15000</v>
      </c>
      <c r="K19" s="80">
        <f t="shared" si="1"/>
        <v>12558612.744417604</v>
      </c>
    </row>
    <row r="20" spans="1:11" s="87" customFormat="1" ht="24" customHeight="1" x14ac:dyDescent="0.25">
      <c r="B20" s="139" t="s">
        <v>126</v>
      </c>
      <c r="C20" s="139"/>
      <c r="D20" s="139"/>
      <c r="E20" s="139"/>
      <c r="F20" s="139"/>
      <c r="G20" s="139"/>
      <c r="H20" s="139"/>
      <c r="I20" s="139"/>
      <c r="J20" s="139"/>
      <c r="K20" s="139"/>
    </row>
    <row r="21" spans="1:11" ht="34.700000000000003" customHeight="1" x14ac:dyDescent="0.25">
      <c r="B21" s="139" t="s">
        <v>127</v>
      </c>
      <c r="C21" s="139"/>
      <c r="D21" s="139"/>
      <c r="E21" s="139"/>
      <c r="F21" s="139"/>
      <c r="G21" s="139"/>
      <c r="H21" s="139"/>
      <c r="I21" s="139"/>
      <c r="J21" s="139"/>
      <c r="K21" s="139"/>
    </row>
  </sheetData>
  <mergeCells count="6">
    <mergeCell ref="B21:K21"/>
    <mergeCell ref="B2:K2"/>
    <mergeCell ref="B4:K4"/>
    <mergeCell ref="B11:K11"/>
    <mergeCell ref="B13:K13"/>
    <mergeCell ref="B20:K20"/>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K48"/>
  <sheetViews>
    <sheetView workbookViewId="0"/>
  </sheetViews>
  <sheetFormatPr defaultColWidth="11.42578125" defaultRowHeight="15" x14ac:dyDescent="0.25"/>
  <cols>
    <col min="2" max="2" width="32.42578125" customWidth="1"/>
    <col min="3" max="3" width="12.85546875" bestFit="1" customWidth="1"/>
    <col min="4" max="4" width="1" customWidth="1"/>
    <col min="5" max="5" width="4.140625" customWidth="1"/>
    <col min="6" max="6" width="16" customWidth="1"/>
    <col min="7" max="7" width="11.42578125" bestFit="1" customWidth="1"/>
    <col min="8" max="8" width="19.7109375" customWidth="1"/>
    <col min="9" max="9" width="14.7109375" customWidth="1"/>
    <col min="11" max="11" width="13.85546875" customWidth="1"/>
  </cols>
  <sheetData>
    <row r="1" spans="2:11" x14ac:dyDescent="0.25">
      <c r="B1" s="60" t="s">
        <v>156</v>
      </c>
    </row>
    <row r="2" spans="2:11" ht="15.95" customHeight="1" x14ac:dyDescent="0.25"/>
    <row r="3" spans="2:11" ht="15.95" customHeight="1" x14ac:dyDescent="0.25">
      <c r="B3" s="60" t="s">
        <v>220</v>
      </c>
    </row>
    <row r="5" spans="2:11" s="67" customFormat="1" ht="30" customHeight="1" x14ac:dyDescent="0.25">
      <c r="B5" s="143" t="s">
        <v>142</v>
      </c>
      <c r="C5" s="143"/>
      <c r="E5" s="143" t="s">
        <v>134</v>
      </c>
      <c r="F5" s="143"/>
      <c r="G5" s="143"/>
      <c r="H5" s="143"/>
      <c r="I5" s="143"/>
      <c r="K5" s="70" t="s">
        <v>155</v>
      </c>
    </row>
    <row r="6" spans="2:11" x14ac:dyDescent="0.25">
      <c r="B6" s="60" t="s">
        <v>132</v>
      </c>
      <c r="C6" s="60" t="s">
        <v>9</v>
      </c>
      <c r="E6" s="60" t="s">
        <v>132</v>
      </c>
      <c r="F6" s="60"/>
      <c r="G6" s="60" t="s">
        <v>135</v>
      </c>
      <c r="H6" s="60" t="s">
        <v>136</v>
      </c>
      <c r="I6" s="60" t="s">
        <v>8</v>
      </c>
      <c r="K6" s="92" t="s">
        <v>145</v>
      </c>
    </row>
    <row r="7" spans="2:11" x14ac:dyDescent="0.25">
      <c r="B7" t="s">
        <v>41</v>
      </c>
      <c r="C7" t="s">
        <v>133</v>
      </c>
      <c r="E7" t="s">
        <v>41</v>
      </c>
      <c r="G7" s="73">
        <v>0</v>
      </c>
      <c r="H7" s="73">
        <v>881000</v>
      </c>
      <c r="I7" s="74">
        <f>SUM(G7:H7)</f>
        <v>881000</v>
      </c>
      <c r="K7" t="s">
        <v>146</v>
      </c>
    </row>
    <row r="8" spans="2:11" x14ac:dyDescent="0.25">
      <c r="B8" t="s">
        <v>140</v>
      </c>
      <c r="C8" t="s">
        <v>133</v>
      </c>
      <c r="E8" t="s">
        <v>137</v>
      </c>
      <c r="G8" s="73">
        <f>SUM('2014-2016 expenses'!F65,'2014-2016 expenses'!I65)</f>
        <v>23769.13</v>
      </c>
      <c r="H8" s="73">
        <v>509000</v>
      </c>
      <c r="I8" s="74">
        <f t="shared" ref="I8:I9" si="0">SUM(G8:H8)</f>
        <v>532769.13</v>
      </c>
    </row>
    <row r="9" spans="2:11" x14ac:dyDescent="0.25">
      <c r="B9" t="s">
        <v>77</v>
      </c>
      <c r="C9" t="s">
        <v>133</v>
      </c>
      <c r="E9" t="s">
        <v>77</v>
      </c>
      <c r="G9" s="73">
        <f>'2014-2016 expenses'!C65</f>
        <v>105277.42741343219</v>
      </c>
      <c r="H9" s="73">
        <f>430000-G9</f>
        <v>324722.57258656784</v>
      </c>
      <c r="I9" s="74">
        <f t="shared" si="0"/>
        <v>430000</v>
      </c>
    </row>
    <row r="10" spans="2:11" x14ac:dyDescent="0.25">
      <c r="E10" t="s">
        <v>138</v>
      </c>
      <c r="G10" s="73">
        <v>0</v>
      </c>
      <c r="H10" s="73">
        <v>207000</v>
      </c>
      <c r="I10" s="74">
        <f>SUM(G10:H10)</f>
        <v>207000</v>
      </c>
    </row>
    <row r="11" spans="2:11" x14ac:dyDescent="0.25">
      <c r="E11" t="s">
        <v>139</v>
      </c>
      <c r="G11" s="73">
        <f>'2014-2016 expenses'!B65</f>
        <v>207777.08000000005</v>
      </c>
      <c r="H11" s="73">
        <v>0</v>
      </c>
      <c r="I11" s="74">
        <f>SUM(G11:H11)</f>
        <v>207777.08000000005</v>
      </c>
    </row>
    <row r="12" spans="2:11" ht="15.75" thickBot="1" x14ac:dyDescent="0.3">
      <c r="I12" s="93">
        <f>SUM(I7:I11)</f>
        <v>2258546.21</v>
      </c>
      <c r="K12" t="s">
        <v>147</v>
      </c>
    </row>
    <row r="13" spans="2:11" ht="15.75" thickTop="1" x14ac:dyDescent="0.25">
      <c r="G13" s="73"/>
      <c r="H13" s="73"/>
    </row>
    <row r="14" spans="2:11" x14ac:dyDescent="0.25">
      <c r="G14" s="73"/>
      <c r="H14" s="73"/>
    </row>
    <row r="15" spans="2:11" x14ac:dyDescent="0.25">
      <c r="G15" s="73"/>
      <c r="H15" s="73"/>
    </row>
    <row r="16" spans="2:11" ht="30" customHeight="1" x14ac:dyDescent="0.25">
      <c r="B16" s="142" t="s">
        <v>143</v>
      </c>
      <c r="C16" s="142"/>
      <c r="E16" s="142" t="s">
        <v>150</v>
      </c>
      <c r="F16" s="142"/>
      <c r="G16" s="142"/>
      <c r="H16" s="142"/>
      <c r="I16" s="142"/>
      <c r="K16" s="70" t="s">
        <v>155</v>
      </c>
    </row>
    <row r="17" spans="2:11" x14ac:dyDescent="0.25">
      <c r="B17" s="60" t="s">
        <v>132</v>
      </c>
      <c r="C17" s="60" t="s">
        <v>9</v>
      </c>
      <c r="E17" s="60" t="s">
        <v>132</v>
      </c>
      <c r="F17" s="60"/>
      <c r="G17" s="60" t="s">
        <v>135</v>
      </c>
      <c r="H17" s="60" t="s">
        <v>151</v>
      </c>
      <c r="I17" s="60" t="s">
        <v>8</v>
      </c>
      <c r="K17" t="s">
        <v>152</v>
      </c>
    </row>
    <row r="18" spans="2:11" x14ac:dyDescent="0.25">
      <c r="B18" t="s">
        <v>41</v>
      </c>
      <c r="C18" s="74">
        <f>H7</f>
        <v>881000</v>
      </c>
      <c r="E18" t="s">
        <v>41</v>
      </c>
      <c r="G18" s="73">
        <v>0</v>
      </c>
      <c r="H18" s="73" t="s">
        <v>133</v>
      </c>
      <c r="I18" s="74">
        <f>SUM(G18:H18)</f>
        <v>0</v>
      </c>
      <c r="K18" t="s">
        <v>153</v>
      </c>
    </row>
    <row r="19" spans="2:11" x14ac:dyDescent="0.25">
      <c r="B19" t="s">
        <v>137</v>
      </c>
      <c r="C19" s="74">
        <f t="shared" ref="C19" si="1">H8</f>
        <v>509000</v>
      </c>
      <c r="E19" t="s">
        <v>137</v>
      </c>
      <c r="G19" s="73">
        <f>SUM('2014-2016 expenses'!G40,'2014-2016 expenses'!F40,'2014-2016 expenses'!H40,'2014-2016 expenses'!J40,'2014-2016 expenses'!K40)</f>
        <v>43120.58</v>
      </c>
      <c r="H19" s="73">
        <f>SUM(H20:H22)</f>
        <v>850000</v>
      </c>
      <c r="I19" s="74">
        <f t="shared" ref="I19:I29" si="2">SUM(G19:H19)</f>
        <v>893120.58</v>
      </c>
    </row>
    <row r="20" spans="2:11" x14ac:dyDescent="0.25">
      <c r="B20" t="s">
        <v>157</v>
      </c>
      <c r="C20" s="74"/>
      <c r="F20" t="s">
        <v>81</v>
      </c>
      <c r="G20" s="73">
        <v>0</v>
      </c>
      <c r="H20" s="73">
        <v>200000</v>
      </c>
      <c r="I20" s="74" t="s">
        <v>159</v>
      </c>
    </row>
    <row r="21" spans="2:11" x14ac:dyDescent="0.25">
      <c r="B21" t="s">
        <v>157</v>
      </c>
      <c r="C21" s="74"/>
      <c r="F21" t="s">
        <v>78</v>
      </c>
      <c r="G21" s="73">
        <v>0</v>
      </c>
      <c r="H21" s="73">
        <v>550000</v>
      </c>
      <c r="I21" s="74" t="s">
        <v>159</v>
      </c>
    </row>
    <row r="22" spans="2:11" x14ac:dyDescent="0.25">
      <c r="B22" t="s">
        <v>157</v>
      </c>
      <c r="C22" s="74"/>
      <c r="F22" t="s">
        <v>158</v>
      </c>
      <c r="G22" s="73">
        <v>0</v>
      </c>
      <c r="H22" s="73">
        <v>100000</v>
      </c>
      <c r="I22" s="74" t="s">
        <v>159</v>
      </c>
    </row>
    <row r="23" spans="2:11" x14ac:dyDescent="0.25">
      <c r="B23" t="s">
        <v>77</v>
      </c>
      <c r="C23" s="74">
        <f>H9</f>
        <v>324722.57258656784</v>
      </c>
      <c r="E23" t="s">
        <v>77</v>
      </c>
      <c r="G23" s="73">
        <f>'2014-2016 expenses'!C40</f>
        <v>280756.0624164833</v>
      </c>
      <c r="H23" s="73">
        <v>12000</v>
      </c>
      <c r="I23" s="74">
        <f t="shared" si="2"/>
        <v>292756.0624164833</v>
      </c>
    </row>
    <row r="24" spans="2:11" x14ac:dyDescent="0.25">
      <c r="B24" t="s">
        <v>138</v>
      </c>
      <c r="C24" s="74">
        <f>H10</f>
        <v>207000</v>
      </c>
      <c r="E24" t="s">
        <v>138</v>
      </c>
      <c r="G24" s="73">
        <f>'2014-2016 expenses'!E40</f>
        <v>17059.179999999997</v>
      </c>
      <c r="H24" s="73">
        <v>11000</v>
      </c>
      <c r="I24" s="74">
        <f t="shared" si="2"/>
        <v>28059.179999999997</v>
      </c>
    </row>
    <row r="25" spans="2:11" x14ac:dyDescent="0.25">
      <c r="B25" t="s">
        <v>141</v>
      </c>
      <c r="C25" s="73">
        <v>230000</v>
      </c>
      <c r="E25" t="s">
        <v>141</v>
      </c>
      <c r="G25" s="73" t="s">
        <v>144</v>
      </c>
      <c r="H25" s="73">
        <v>0</v>
      </c>
      <c r="I25" s="74">
        <f t="shared" si="2"/>
        <v>0</v>
      </c>
    </row>
    <row r="26" spans="2:11" x14ac:dyDescent="0.25">
      <c r="B26" t="s">
        <v>148</v>
      </c>
      <c r="C26" s="73">
        <v>144000</v>
      </c>
      <c r="E26" t="s">
        <v>148</v>
      </c>
      <c r="G26" s="73">
        <f>'2014-2016 expenses'!B40</f>
        <v>239447.38299999997</v>
      </c>
      <c r="H26" s="73">
        <v>0</v>
      </c>
      <c r="I26" s="74">
        <f t="shared" si="2"/>
        <v>239447.38299999997</v>
      </c>
    </row>
    <row r="27" spans="2:11" x14ac:dyDescent="0.25">
      <c r="B27" t="s">
        <v>101</v>
      </c>
      <c r="C27" s="73">
        <v>170000</v>
      </c>
      <c r="E27" t="s">
        <v>101</v>
      </c>
      <c r="G27" s="73">
        <f>'2014-2016 expenses'!I40</f>
        <v>32612.84</v>
      </c>
      <c r="H27" s="73">
        <v>93000</v>
      </c>
      <c r="I27" s="74">
        <f t="shared" si="2"/>
        <v>125612.84</v>
      </c>
    </row>
    <row r="28" spans="2:11" x14ac:dyDescent="0.25">
      <c r="B28" t="s">
        <v>149</v>
      </c>
      <c r="C28" s="73">
        <v>500000</v>
      </c>
      <c r="E28" t="s">
        <v>149</v>
      </c>
      <c r="G28" s="73">
        <v>0</v>
      </c>
      <c r="H28" s="73">
        <v>0</v>
      </c>
      <c r="I28" s="74">
        <f t="shared" si="2"/>
        <v>0</v>
      </c>
    </row>
    <row r="29" spans="2:11" x14ac:dyDescent="0.25">
      <c r="B29" t="s">
        <v>79</v>
      </c>
      <c r="C29" s="73">
        <v>230000</v>
      </c>
      <c r="E29" t="s">
        <v>79</v>
      </c>
      <c r="G29" s="73">
        <f>'2014-2016 expenses'!D40</f>
        <v>130978.63999999998</v>
      </c>
      <c r="H29" s="73">
        <v>0</v>
      </c>
      <c r="I29" s="74">
        <f t="shared" si="2"/>
        <v>130978.63999999998</v>
      </c>
    </row>
    <row r="30" spans="2:11" ht="15.75" thickBot="1" x14ac:dyDescent="0.3">
      <c r="C30" s="93">
        <f>SUM(C18:C29)</f>
        <v>3195722.5725865681</v>
      </c>
      <c r="I30" s="93">
        <f>SUM(I18:I29)</f>
        <v>1709974.6854164831</v>
      </c>
    </row>
    <row r="31" spans="2:11" ht="15.75" thickTop="1" x14ac:dyDescent="0.25"/>
    <row r="33" spans="2:11" ht="30" customHeight="1" x14ac:dyDescent="0.25">
      <c r="B33" s="142" t="s">
        <v>154</v>
      </c>
      <c r="C33" s="142"/>
      <c r="E33" s="142" t="s">
        <v>164</v>
      </c>
      <c r="F33" s="142"/>
      <c r="G33" s="142"/>
      <c r="H33" s="142"/>
      <c r="I33" s="142"/>
      <c r="K33" s="70" t="s">
        <v>155</v>
      </c>
    </row>
    <row r="34" spans="2:11" x14ac:dyDescent="0.25">
      <c r="B34" s="60" t="s">
        <v>132</v>
      </c>
      <c r="C34" s="60" t="s">
        <v>9</v>
      </c>
      <c r="E34" s="60" t="s">
        <v>132</v>
      </c>
      <c r="F34" s="60"/>
      <c r="G34" s="60" t="s">
        <v>135</v>
      </c>
      <c r="H34" s="60" t="s">
        <v>163</v>
      </c>
      <c r="I34" s="60" t="s">
        <v>8</v>
      </c>
      <c r="K34" t="s">
        <v>167</v>
      </c>
    </row>
    <row r="35" spans="2:11" x14ac:dyDescent="0.25">
      <c r="B35" t="s">
        <v>41</v>
      </c>
      <c r="C35" t="s">
        <v>133</v>
      </c>
      <c r="E35" t="s">
        <v>41</v>
      </c>
      <c r="G35" s="73">
        <v>0</v>
      </c>
      <c r="H35" s="126">
        <f>'DtW Unres Commit'!C23</f>
        <v>1320000</v>
      </c>
      <c r="I35" s="74">
        <f>SUM(G35:H35)</f>
        <v>1320000</v>
      </c>
    </row>
    <row r="36" spans="2:11" x14ac:dyDescent="0.25">
      <c r="B36" t="s">
        <v>77</v>
      </c>
      <c r="C36" s="74">
        <f>H23</f>
        <v>12000</v>
      </c>
      <c r="E36" t="s">
        <v>77</v>
      </c>
      <c r="G36" s="73">
        <f>'2014-2016 expenses'!C15</f>
        <v>29079.752550247242</v>
      </c>
      <c r="H36" s="126">
        <f>'DtW Unres Commit'!C24+'DtW Unres Commit'!C22</f>
        <v>1236157.7094999999</v>
      </c>
      <c r="I36" s="74">
        <f t="shared" ref="I36:I46" si="3">SUM(G36:H36)</f>
        <v>1265237.462050247</v>
      </c>
    </row>
    <row r="37" spans="2:11" x14ac:dyDescent="0.25">
      <c r="B37" t="s">
        <v>138</v>
      </c>
      <c r="C37" s="74">
        <f>H24</f>
        <v>11000</v>
      </c>
      <c r="E37" t="s">
        <v>138</v>
      </c>
      <c r="G37" s="73">
        <f>'2014-2016 expenses'!E15</f>
        <v>10931.630000000001</v>
      </c>
      <c r="H37" s="126">
        <f>'DtW Unres Commit'!C12</f>
        <v>307785</v>
      </c>
      <c r="I37" s="74">
        <f t="shared" si="3"/>
        <v>318716.63</v>
      </c>
    </row>
    <row r="38" spans="2:11" x14ac:dyDescent="0.25">
      <c r="B38" t="s">
        <v>101</v>
      </c>
      <c r="C38" s="74">
        <f>H27 + 2600000</f>
        <v>2693000</v>
      </c>
      <c r="E38" t="s">
        <v>101</v>
      </c>
      <c r="G38" s="73">
        <f>'2014-2016 expenses'!I15</f>
        <v>31949.54</v>
      </c>
      <c r="H38" s="126">
        <f>'DtW Unres Commit'!C13+'DtW Unres Commit'!C14</f>
        <v>265000</v>
      </c>
      <c r="I38" s="74">
        <f t="shared" si="3"/>
        <v>296949.53999999998</v>
      </c>
      <c r="K38" t="s">
        <v>169</v>
      </c>
    </row>
    <row r="39" spans="2:11" x14ac:dyDescent="0.25">
      <c r="B39" t="s">
        <v>81</v>
      </c>
      <c r="C39" s="74">
        <f>H20+6000000</f>
        <v>6200000</v>
      </c>
      <c r="E39" t="s">
        <v>81</v>
      </c>
      <c r="G39" s="73">
        <f>'2014-2016 expenses'!H15</f>
        <v>90559.91</v>
      </c>
      <c r="H39" s="126">
        <f>'DtW Unres Commit'!C18+'DtW Unres Commit'!C19</f>
        <v>309001.28999999998</v>
      </c>
      <c r="I39" s="74">
        <f t="shared" si="3"/>
        <v>399561.19999999995</v>
      </c>
      <c r="K39" t="s">
        <v>168</v>
      </c>
    </row>
    <row r="40" spans="2:11" x14ac:dyDescent="0.25">
      <c r="B40" t="s">
        <v>78</v>
      </c>
      <c r="C40" s="74">
        <f>H21</f>
        <v>550000</v>
      </c>
      <c r="E40" t="s">
        <v>78</v>
      </c>
      <c r="G40" s="73">
        <f>'2014-2016 expenses'!G15</f>
        <v>64224.600000000006</v>
      </c>
      <c r="H40" s="126">
        <f>'DtW Unres Commit'!C16+'DtW Unres Commit'!C17</f>
        <v>1438998.44</v>
      </c>
      <c r="I40" s="74">
        <f t="shared" si="3"/>
        <v>1503223.04</v>
      </c>
    </row>
    <row r="41" spans="2:11" x14ac:dyDescent="0.25">
      <c r="B41" t="s">
        <v>160</v>
      </c>
      <c r="C41" s="74">
        <f>H22</f>
        <v>100000</v>
      </c>
      <c r="E41" t="s">
        <v>165</v>
      </c>
      <c r="G41" s="73">
        <f>'2014-2016 expenses'!J15+'2014-2016 expenses'!K15</f>
        <v>11307.259999999998</v>
      </c>
      <c r="H41" s="126">
        <f>'DtW Unres Commit'!C15</f>
        <v>35000</v>
      </c>
      <c r="I41" s="74">
        <f t="shared" si="3"/>
        <v>46307.259999999995</v>
      </c>
    </row>
    <row r="42" spans="2:11" x14ac:dyDescent="0.25">
      <c r="B42" t="s">
        <v>161</v>
      </c>
      <c r="C42" s="73">
        <v>6000000</v>
      </c>
      <c r="E42" t="s">
        <v>161</v>
      </c>
      <c r="G42" s="73">
        <v>0</v>
      </c>
      <c r="H42" s="126">
        <v>0</v>
      </c>
      <c r="I42" s="74">
        <f t="shared" si="3"/>
        <v>0</v>
      </c>
      <c r="K42" t="s">
        <v>170</v>
      </c>
    </row>
    <row r="43" spans="2:11" x14ac:dyDescent="0.25">
      <c r="E43" t="s">
        <v>79</v>
      </c>
      <c r="G43" s="73">
        <f>'2014-2016 expenses'!D15</f>
        <v>19777.789999999979</v>
      </c>
      <c r="H43" s="126">
        <f>'DtW Unres Commit'!C20</f>
        <v>61600</v>
      </c>
      <c r="I43" s="74">
        <f t="shared" si="3"/>
        <v>81377.789999999979</v>
      </c>
    </row>
    <row r="44" spans="2:11" x14ac:dyDescent="0.25">
      <c r="B44" t="s">
        <v>162</v>
      </c>
      <c r="E44" t="s">
        <v>148</v>
      </c>
      <c r="G44" s="73">
        <f>'2014-2016 expenses'!B15</f>
        <v>75711.699500000002</v>
      </c>
      <c r="H44" s="126">
        <v>0</v>
      </c>
      <c r="I44" s="74">
        <f t="shared" si="3"/>
        <v>75711.699500000002</v>
      </c>
    </row>
    <row r="45" spans="2:11" x14ac:dyDescent="0.25">
      <c r="E45" t="s">
        <v>158</v>
      </c>
      <c r="G45" t="s">
        <v>166</v>
      </c>
      <c r="H45" s="126">
        <f>'DtW Unres Commit'!C11</f>
        <v>150000</v>
      </c>
      <c r="I45" s="74">
        <f t="shared" si="3"/>
        <v>150000</v>
      </c>
    </row>
    <row r="46" spans="2:11" x14ac:dyDescent="0.25">
      <c r="E46" t="s">
        <v>37</v>
      </c>
      <c r="G46" s="91">
        <f>'2014-2016 expenses'!F15</f>
        <v>17172.66</v>
      </c>
      <c r="H46" s="126">
        <f>'DtW Unres Commit'!C21</f>
        <v>7000</v>
      </c>
      <c r="I46" s="74">
        <f t="shared" si="3"/>
        <v>24172.66</v>
      </c>
    </row>
    <row r="47" spans="2:11" ht="15.75" thickBot="1" x14ac:dyDescent="0.3">
      <c r="H47" s="74"/>
      <c r="I47" s="93">
        <f>SUM(I35:I46)</f>
        <v>5481257.2815502472</v>
      </c>
    </row>
    <row r="48" spans="2:11" ht="15.75" thickTop="1" x14ac:dyDescent="0.25"/>
  </sheetData>
  <mergeCells count="6">
    <mergeCell ref="B33:C33"/>
    <mergeCell ref="E33:I33"/>
    <mergeCell ref="B5:C5"/>
    <mergeCell ref="E5:I5"/>
    <mergeCell ref="B16:C16"/>
    <mergeCell ref="E16:I16"/>
  </mergeCells>
  <pageMargins left="0.7" right="0.7" top="0.75" bottom="0.75" header="0.3" footer="0.3"/>
  <pageSetup orientation="portrait" horizontalDpi="0" verticalDpi="0"/>
  <legacy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
  <sheetViews>
    <sheetView workbookViewId="0"/>
  </sheetViews>
  <sheetFormatPr defaultColWidth="8.85546875" defaultRowHeight="15" x14ac:dyDescent="0.25"/>
  <cols>
    <col min="1" max="1" width="4.28515625" customWidth="1"/>
    <col min="2" max="2" width="33.42578125" bestFit="1" customWidth="1"/>
    <col min="3" max="3" width="1.42578125" customWidth="1"/>
    <col min="4" max="5" width="15.28515625" customWidth="1"/>
    <col min="6" max="6" width="4" customWidth="1"/>
    <col min="7" max="8" width="15.28515625" customWidth="1"/>
  </cols>
  <sheetData>
    <row r="1" spans="1:14" x14ac:dyDescent="0.25">
      <c r="A1" s="60" t="s">
        <v>71</v>
      </c>
    </row>
    <row r="2" spans="1:14" ht="45" x14ac:dyDescent="0.25">
      <c r="D2" s="61" t="s">
        <v>72</v>
      </c>
      <c r="E2" s="61" t="s">
        <v>73</v>
      </c>
      <c r="F2" s="61"/>
      <c r="G2" s="61" t="s">
        <v>74</v>
      </c>
      <c r="H2" s="61" t="s">
        <v>75</v>
      </c>
      <c r="I2" s="62" t="s">
        <v>76</v>
      </c>
      <c r="J2" s="63"/>
      <c r="K2" s="63"/>
      <c r="L2" s="63"/>
      <c r="M2" s="63"/>
      <c r="N2" s="63"/>
    </row>
    <row r="3" spans="1:14" x14ac:dyDescent="0.25">
      <c r="B3" t="s">
        <v>77</v>
      </c>
      <c r="D3" s="59">
        <v>2900000</v>
      </c>
      <c r="E3" s="59">
        <v>980000</v>
      </c>
      <c r="F3" s="59"/>
      <c r="G3" s="59">
        <v>4100000</v>
      </c>
      <c r="H3" s="59">
        <v>1366666</v>
      </c>
      <c r="I3" t="s">
        <v>199</v>
      </c>
    </row>
    <row r="4" spans="1:14" x14ac:dyDescent="0.25">
      <c r="B4" t="s">
        <v>78</v>
      </c>
      <c r="D4" s="59">
        <v>3900000</v>
      </c>
      <c r="E4" s="59">
        <v>2117844</v>
      </c>
      <c r="F4" s="59"/>
      <c r="G4" s="59">
        <v>7400000</v>
      </c>
      <c r="H4" s="59">
        <v>2117844</v>
      </c>
      <c r="I4" t="s">
        <v>200</v>
      </c>
    </row>
    <row r="5" spans="1:14" s="52" customFormat="1" x14ac:dyDescent="0.25">
      <c r="A5"/>
      <c r="B5" t="s">
        <v>79</v>
      </c>
      <c r="C5"/>
      <c r="D5" s="59">
        <v>6000000</v>
      </c>
      <c r="E5" s="59">
        <v>2155210.8611111119</v>
      </c>
      <c r="F5" s="59"/>
      <c r="G5" s="59">
        <f>D5</f>
        <v>6000000</v>
      </c>
      <c r="H5" s="59">
        <v>2155210.8611111119</v>
      </c>
      <c r="I5" t="s">
        <v>80</v>
      </c>
    </row>
    <row r="6" spans="1:14" x14ac:dyDescent="0.25">
      <c r="B6" t="s">
        <v>81</v>
      </c>
      <c r="D6" s="59">
        <v>500000</v>
      </c>
      <c r="E6" s="59">
        <v>200000</v>
      </c>
      <c r="F6" s="59"/>
      <c r="G6" s="59">
        <v>4200000</v>
      </c>
      <c r="H6" s="59">
        <v>750000</v>
      </c>
      <c r="I6" t="s">
        <v>82</v>
      </c>
    </row>
    <row r="7" spans="1:14" x14ac:dyDescent="0.25">
      <c r="B7" t="s">
        <v>83</v>
      </c>
      <c r="D7" s="59">
        <v>1600000</v>
      </c>
      <c r="E7" s="59">
        <v>100000</v>
      </c>
      <c r="F7" s="59"/>
      <c r="G7" s="59">
        <v>4000000</v>
      </c>
      <c r="H7" s="59">
        <v>700000</v>
      </c>
      <c r="I7" t="s">
        <v>84</v>
      </c>
    </row>
    <row r="8" spans="1:14" x14ac:dyDescent="0.25">
      <c r="B8" t="s">
        <v>85</v>
      </c>
      <c r="D8" s="59">
        <v>2100000</v>
      </c>
      <c r="E8" s="59">
        <v>0</v>
      </c>
      <c r="F8" s="59"/>
      <c r="G8" s="59">
        <f>D8</f>
        <v>2100000</v>
      </c>
      <c r="H8" s="59"/>
      <c r="I8" t="s">
        <v>86</v>
      </c>
    </row>
    <row r="9" spans="1:14" x14ac:dyDescent="0.25">
      <c r="B9" s="60" t="s">
        <v>87</v>
      </c>
      <c r="D9" s="64">
        <f>SUM(D3:D8)</f>
        <v>17000000</v>
      </c>
      <c r="E9" s="64">
        <f>SUM(E3:E8)</f>
        <v>5553054.8611111119</v>
      </c>
      <c r="F9" s="64"/>
      <c r="G9" s="64">
        <f>SUM(G3:G8)</f>
        <v>27800000</v>
      </c>
      <c r="H9" s="64">
        <f>SUM(H3:H8)</f>
        <v>7089720.8611111119</v>
      </c>
    </row>
    <row r="10" spans="1:14" x14ac:dyDescent="0.25">
      <c r="B10" s="65" t="s">
        <v>88</v>
      </c>
      <c r="C10" s="65"/>
      <c r="D10" s="66">
        <v>10969609.601635076</v>
      </c>
      <c r="E10" s="66"/>
      <c r="F10" s="66"/>
      <c r="G10" s="66">
        <f>D10</f>
        <v>10969609.601635076</v>
      </c>
      <c r="H10" s="59"/>
    </row>
    <row r="11" spans="1:14" x14ac:dyDescent="0.25">
      <c r="B11" s="60" t="s">
        <v>89</v>
      </c>
      <c r="C11" s="60"/>
      <c r="D11" s="64">
        <f>D9-D10</f>
        <v>6030390.3983649239</v>
      </c>
      <c r="E11" s="64"/>
      <c r="F11" s="64"/>
      <c r="G11" s="64">
        <f>G9-G10</f>
        <v>16830390.398364924</v>
      </c>
      <c r="H11" s="59"/>
    </row>
    <row r="12" spans="1:14" ht="45" x14ac:dyDescent="0.25">
      <c r="B12" s="67" t="s">
        <v>90</v>
      </c>
      <c r="D12" s="68">
        <f>D11*0.6</f>
        <v>3618234.2390189543</v>
      </c>
      <c r="E12" s="68"/>
      <c r="F12" s="68"/>
      <c r="G12" s="68">
        <f>G11*0.6</f>
        <v>10098234.239018954</v>
      </c>
      <c r="H12" s="69"/>
    </row>
  </sheetData>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G30"/>
  <sheetViews>
    <sheetView workbookViewId="0"/>
  </sheetViews>
  <sheetFormatPr defaultColWidth="11.42578125" defaultRowHeight="15" x14ac:dyDescent="0.25"/>
  <cols>
    <col min="2" max="2" width="46" style="67" customWidth="1"/>
    <col min="3" max="3" width="14" style="73" customWidth="1"/>
    <col min="4" max="4" width="23.7109375" customWidth="1"/>
    <col min="5" max="5" width="15.42578125" customWidth="1"/>
    <col min="7" max="7" width="11.140625" bestFit="1" customWidth="1"/>
  </cols>
  <sheetData>
    <row r="3" spans="2:7" s="70" customFormat="1" ht="45" x14ac:dyDescent="0.25">
      <c r="B3" s="70" t="s">
        <v>91</v>
      </c>
      <c r="C3" s="72" t="s">
        <v>172</v>
      </c>
      <c r="D3" s="70" t="s">
        <v>173</v>
      </c>
      <c r="E3" s="70" t="s">
        <v>93</v>
      </c>
    </row>
    <row r="4" spans="2:7" ht="60" x14ac:dyDescent="0.25">
      <c r="B4" s="71" t="s">
        <v>210</v>
      </c>
      <c r="C4" s="73">
        <f>('Total room for more funding'!D5/5)*2</f>
        <v>2400000</v>
      </c>
      <c r="D4" s="94" t="s">
        <v>203</v>
      </c>
      <c r="E4" t="s">
        <v>95</v>
      </c>
    </row>
    <row r="5" spans="2:7" ht="30" x14ac:dyDescent="0.25">
      <c r="B5" s="67" t="s">
        <v>201</v>
      </c>
      <c r="C5" s="73">
        <f>'Total room for more funding'!D3</f>
        <v>2900000</v>
      </c>
      <c r="D5" s="94" t="s">
        <v>203</v>
      </c>
      <c r="E5" t="s">
        <v>95</v>
      </c>
    </row>
    <row r="6" spans="2:7" x14ac:dyDescent="0.25">
      <c r="B6" s="67" t="s">
        <v>219</v>
      </c>
      <c r="C6" s="73">
        <v>6100000</v>
      </c>
      <c r="D6" s="94">
        <f>SUM(C4:C6)-'DtW Unres Commit'!C41</f>
        <v>367390.39836492389</v>
      </c>
      <c r="E6" t="s">
        <v>95</v>
      </c>
      <c r="F6" s="74" t="s">
        <v>221</v>
      </c>
      <c r="G6" s="74"/>
    </row>
    <row r="7" spans="2:7" ht="45" x14ac:dyDescent="0.25">
      <c r="B7" s="71" t="s">
        <v>209</v>
      </c>
      <c r="C7" s="73">
        <f>('Total room for more funding'!G5/5)*2</f>
        <v>2400000</v>
      </c>
      <c r="D7" s="94">
        <f>D6+C7</f>
        <v>2767390.3983649239</v>
      </c>
      <c r="E7" t="s">
        <v>96</v>
      </c>
      <c r="G7" s="74"/>
    </row>
    <row r="8" spans="2:7" x14ac:dyDescent="0.25">
      <c r="B8" s="67" t="s">
        <v>202</v>
      </c>
      <c r="C8" s="73">
        <f>'Total room for more funding'!G3-'Total room for more funding'!D3</f>
        <v>1200000</v>
      </c>
      <c r="D8" s="94">
        <f>D7+C8</f>
        <v>3967390.3983649239</v>
      </c>
      <c r="E8" t="s">
        <v>96</v>
      </c>
    </row>
    <row r="9" spans="2:7" x14ac:dyDescent="0.25">
      <c r="B9" s="67" t="s">
        <v>211</v>
      </c>
      <c r="C9" s="73">
        <f>'Total room for more funding'!D6</f>
        <v>500000</v>
      </c>
      <c r="D9" s="94">
        <f t="shared" ref="D9:D12" si="0">D8+C9</f>
        <v>4467390.3983649239</v>
      </c>
      <c r="E9" t="s">
        <v>96</v>
      </c>
    </row>
    <row r="10" spans="2:7" x14ac:dyDescent="0.25">
      <c r="B10" s="67" t="s">
        <v>212</v>
      </c>
      <c r="C10" s="73">
        <f>'Total room for more funding'!G7</f>
        <v>4000000</v>
      </c>
      <c r="D10" s="94">
        <f t="shared" si="0"/>
        <v>8467390.3983649239</v>
      </c>
      <c r="E10" t="s">
        <v>97</v>
      </c>
    </row>
    <row r="11" spans="2:7" ht="45" x14ac:dyDescent="0.25">
      <c r="B11" s="71" t="s">
        <v>213</v>
      </c>
      <c r="C11" s="73">
        <f>'Total room for more funding'!D5/5</f>
        <v>1200000</v>
      </c>
      <c r="D11" s="94">
        <f t="shared" si="0"/>
        <v>9667390.3983649239</v>
      </c>
      <c r="E11" t="s">
        <v>97</v>
      </c>
    </row>
    <row r="12" spans="2:7" x14ac:dyDescent="0.25">
      <c r="B12" s="67" t="s">
        <v>204</v>
      </c>
      <c r="C12" s="73">
        <f>'Total room for more funding'!G6-'Total room for more funding'!D6</f>
        <v>3700000</v>
      </c>
      <c r="D12" s="94">
        <f t="shared" si="0"/>
        <v>13367390.398364924</v>
      </c>
      <c r="E12" t="s">
        <v>97</v>
      </c>
    </row>
    <row r="13" spans="2:7" x14ac:dyDescent="0.25">
      <c r="B13" s="70" t="s">
        <v>8</v>
      </c>
      <c r="C13" s="75">
        <f>SUM(C4:C12)</f>
        <v>24400000</v>
      </c>
      <c r="D13" s="75">
        <f>D12</f>
        <v>13367390.398364924</v>
      </c>
    </row>
    <row r="14" spans="2:7" x14ac:dyDescent="0.25">
      <c r="D14" s="94"/>
    </row>
    <row r="15" spans="2:7" s="60" customFormat="1" x14ac:dyDescent="0.25"/>
    <row r="18" spans="2:5" ht="60" x14ac:dyDescent="0.25">
      <c r="B18" s="70" t="s">
        <v>91</v>
      </c>
      <c r="C18" s="72" t="s">
        <v>171</v>
      </c>
      <c r="D18" s="70" t="s">
        <v>92</v>
      </c>
      <c r="E18" s="70" t="s">
        <v>93</v>
      </c>
    </row>
    <row r="19" spans="2:5" ht="60" x14ac:dyDescent="0.25">
      <c r="B19" s="71" t="str">
        <f t="shared" ref="B19:B26" si="1">B4</f>
        <v xml:space="preserve">Supporting 50% of the costs for 2 years of (a) continuing the national deworming program in Kenya and (b) additional prevalence surveys in Kenya </v>
      </c>
      <c r="C19" t="str">
        <f t="shared" ref="C19:C26" si="2">TEXT(C4/1000000,"0.0")</f>
        <v>2.4</v>
      </c>
      <c r="D19" s="96" t="str">
        <f>D4</f>
        <v>Deworm the World will have sufficient funds</v>
      </c>
      <c r="E19" t="str">
        <f>E4</f>
        <v>Execution level 1</v>
      </c>
    </row>
    <row r="20" spans="2:5" ht="30" x14ac:dyDescent="0.25">
      <c r="B20" s="71" t="str">
        <f t="shared" si="1"/>
        <v xml:space="preserve">Expansion to 2 new states in India for 3 years </v>
      </c>
      <c r="C20" t="str">
        <f t="shared" si="2"/>
        <v>2.9</v>
      </c>
      <c r="D20" s="96" t="str">
        <f>D5</f>
        <v>Deworm the World will have sufficient funds</v>
      </c>
      <c r="E20" t="str">
        <f>E5</f>
        <v>Execution level 1</v>
      </c>
    </row>
    <row r="21" spans="2:5" x14ac:dyDescent="0.25">
      <c r="B21" s="71" t="str">
        <f t="shared" si="1"/>
        <v>Expansion to 3 new states in Nigeria for 3 years</v>
      </c>
      <c r="C21" t="str">
        <f t="shared" si="2"/>
        <v>6.1</v>
      </c>
      <c r="D21" t="str">
        <f t="shared" ref="D21:D26" si="3">TEXT(D6/1000000,"0.0")</f>
        <v>0.4</v>
      </c>
      <c r="E21" t="str">
        <f t="shared" ref="E21:E26" si="4">E6</f>
        <v>Execution level 1</v>
      </c>
    </row>
    <row r="22" spans="2:5" ht="45" x14ac:dyDescent="0.25">
      <c r="B22" s="71" t="str">
        <f t="shared" si="1"/>
        <v>Supporting 50% of the Kenya program and additional surveys for an additional 2 years (4 years total)</v>
      </c>
      <c r="C22" t="str">
        <f t="shared" si="2"/>
        <v>2.4</v>
      </c>
      <c r="D22" t="str">
        <f t="shared" si="3"/>
        <v>2.8</v>
      </c>
      <c r="E22" t="str">
        <f t="shared" si="4"/>
        <v>Execution level 2</v>
      </c>
    </row>
    <row r="23" spans="2:5" x14ac:dyDescent="0.25">
      <c r="B23" s="71" t="str">
        <f t="shared" si="1"/>
        <v>Expansion to 1 additional state in India for 3 years</v>
      </c>
      <c r="C23" t="str">
        <f t="shared" si="2"/>
        <v>1.2</v>
      </c>
      <c r="D23" t="str">
        <f t="shared" si="3"/>
        <v>4.0</v>
      </c>
      <c r="E23" t="str">
        <f t="shared" si="4"/>
        <v>Execution level 2</v>
      </c>
    </row>
    <row r="24" spans="2:5" x14ac:dyDescent="0.25">
      <c r="B24" s="71" t="str">
        <f t="shared" si="1"/>
        <v>Expansion to 1 province in Pakistan for 2 years</v>
      </c>
      <c r="C24" t="str">
        <f t="shared" si="2"/>
        <v>0.5</v>
      </c>
      <c r="D24" t="str">
        <f t="shared" si="3"/>
        <v>4.5</v>
      </c>
      <c r="E24" t="str">
        <f t="shared" si="4"/>
        <v>Execution level 2</v>
      </c>
    </row>
    <row r="25" spans="2:5" x14ac:dyDescent="0.25">
      <c r="B25" s="71" t="str">
        <f t="shared" si="1"/>
        <v>Expansion to Indonesia</v>
      </c>
      <c r="C25" t="str">
        <f t="shared" si="2"/>
        <v>4.0</v>
      </c>
      <c r="D25" t="str">
        <f t="shared" si="3"/>
        <v>8.5</v>
      </c>
      <c r="E25" t="str">
        <f t="shared" si="4"/>
        <v>Execution level 3</v>
      </c>
    </row>
    <row r="26" spans="2:5" ht="45" x14ac:dyDescent="0.25">
      <c r="B26" s="71" t="str">
        <f t="shared" si="1"/>
        <v>Supporting 50% of the Kenya program and additional surveys for an additional year (5 years total)</v>
      </c>
      <c r="C26" t="str">
        <f t="shared" si="2"/>
        <v>1.2</v>
      </c>
      <c r="D26" t="str">
        <f t="shared" si="3"/>
        <v>9.7</v>
      </c>
      <c r="E26" t="str">
        <f t="shared" si="4"/>
        <v>Execution level 3</v>
      </c>
    </row>
    <row r="27" spans="2:5" x14ac:dyDescent="0.25">
      <c r="B27" s="71" t="str">
        <f t="shared" ref="B27:B28" si="5">B12</f>
        <v>Expansion to 1 additional province in Pakistan</v>
      </c>
      <c r="C27" t="str">
        <f t="shared" ref="C27:C28" si="6">TEXT(C12/1000000,"0.0")</f>
        <v>3.7</v>
      </c>
      <c r="D27" t="str">
        <f t="shared" ref="D27" si="7">TEXT(D12/1000000,"0.0")</f>
        <v>13.4</v>
      </c>
      <c r="E27" t="str">
        <f t="shared" ref="E27" si="8">E12</f>
        <v>Execution level 3</v>
      </c>
    </row>
    <row r="28" spans="2:5" x14ac:dyDescent="0.25">
      <c r="B28" s="71" t="str">
        <f t="shared" si="5"/>
        <v>Total</v>
      </c>
      <c r="C28" t="str">
        <f t="shared" si="6"/>
        <v>24.4</v>
      </c>
      <c r="D28" t="str">
        <f t="shared" ref="D28" si="9">TEXT(D13/1000000,"0.0")</f>
        <v>13.4</v>
      </c>
    </row>
    <row r="29" spans="2:5" x14ac:dyDescent="0.25">
      <c r="B29" s="71"/>
      <c r="C29" s="95"/>
      <c r="D29" s="96"/>
    </row>
    <row r="30" spans="2:5" x14ac:dyDescent="0.25">
      <c r="B30" s="71"/>
      <c r="C30" s="95"/>
      <c r="D30" s="96"/>
    </row>
  </sheetData>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EvAct Rev &amp; Exp - not final</vt:lpstr>
      <vt:lpstr>EA Unres Commit - guess</vt:lpstr>
      <vt:lpstr>DtW Unres Commit</vt:lpstr>
      <vt:lpstr>2014-2016 expenses</vt:lpstr>
      <vt:lpstr>2016 and 2017 budgets</vt:lpstr>
      <vt:lpstr>Expected vs. Actual spending</vt:lpstr>
      <vt:lpstr>Total room for more funding</vt:lpstr>
      <vt:lpstr>GiveWell's ranked funding gaps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2016-11-23T19:22:36Z</dcterms:created>
  <dcterms:modified xsi:type="dcterms:W3CDTF">2016-12-15T08:49:07Z</dcterms:modified>
</cp:coreProperties>
</file>