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1600" windowHeight="13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'Sheet1'!$A$1:$Y$53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<sst xmlns="http://schemas.openxmlformats.org/spreadsheetml/2006/main" count="68" uniqueCount="60">
  <si>
    <t>Country</t>
  </si>
  <si>
    <t>risk population</t>
  </si>
  <si>
    <t>1st Quarter delivered</t>
  </si>
  <si>
    <t>2nd Quarter delivered</t>
  </si>
  <si>
    <t>3rd Quarter delivered</t>
  </si>
  <si>
    <t>4th Quarter delivered</t>
  </si>
  <si>
    <t>Total 2009</t>
  </si>
  <si>
    <t>Total 2010</t>
  </si>
  <si>
    <t>Total 2011</t>
  </si>
  <si>
    <t>total coverage based on I net for 2 people</t>
  </si>
  <si>
    <t>%</t>
  </si>
  <si>
    <t>coverage without loss</t>
  </si>
  <si>
    <t>total coverage based on 1 net for 1.8 people and net loss of 8% during year 1, 20% during year 2, and 50% in year 3</t>
  </si>
  <si>
    <t>coverage with loss</t>
  </si>
  <si>
    <t>Angola</t>
  </si>
  <si>
    <t>Benin</t>
  </si>
  <si>
    <t>Botswana</t>
  </si>
  <si>
    <t>Burkina Faso</t>
  </si>
  <si>
    <t>Burundi</t>
  </si>
  <si>
    <t>C.A.R.</t>
  </si>
  <si>
    <t>Cameroon</t>
  </si>
  <si>
    <t>Chad</t>
  </si>
  <si>
    <t>Comoros</t>
  </si>
  <si>
    <t>Congo</t>
  </si>
  <si>
    <t>Cote d'Ivoire</t>
  </si>
  <si>
    <t>Djibouti</t>
  </si>
  <si>
    <t>DRC</t>
  </si>
  <si>
    <t>E. Guinea</t>
  </si>
  <si>
    <t>Eritrea</t>
  </si>
  <si>
    <t>Ethiopia</t>
  </si>
  <si>
    <t>Gabon</t>
  </si>
  <si>
    <t>Gambia</t>
  </si>
  <si>
    <t>Ghana</t>
  </si>
  <si>
    <t>Guinea</t>
  </si>
  <si>
    <t>Guinea Bissau</t>
  </si>
  <si>
    <t>Kenya</t>
  </si>
  <si>
    <t>Liberia</t>
  </si>
  <si>
    <t>Madagascar</t>
  </si>
  <si>
    <t>Malawi</t>
  </si>
  <si>
    <t>Mali</t>
  </si>
  <si>
    <t>Mauritania</t>
  </si>
  <si>
    <t>Mozambique</t>
  </si>
  <si>
    <t>Namibia</t>
  </si>
  <si>
    <t>Niger</t>
  </si>
  <si>
    <t>Nigeria</t>
  </si>
  <si>
    <t>Rwanda</t>
  </si>
  <si>
    <t>Senegal</t>
  </si>
  <si>
    <t>Sierra Leone</t>
  </si>
  <si>
    <t>Somalia</t>
  </si>
  <si>
    <t>South Africa</t>
  </si>
  <si>
    <t>STP</t>
  </si>
  <si>
    <t xml:space="preserve">N Sudan </t>
  </si>
  <si>
    <t>S Sudan</t>
  </si>
  <si>
    <t>Swaziland</t>
  </si>
  <si>
    <t>Tanzania</t>
  </si>
  <si>
    <t>Togo</t>
  </si>
  <si>
    <t>Uganda</t>
  </si>
  <si>
    <t>Zambia</t>
  </si>
  <si>
    <t>Zimbabwe</t>
  </si>
  <si>
    <t>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</si>
</sst>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"/>
  </numFmts>
  <fonts count="7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5" xfId="0" applyFont="1" applyFill="1" applyBorder="1" applyAlignment="1">
      <alignment horizontal="center" wrapText="1"/>
    </xf>
    <xf numFmtId="0" fontId="5" fillId="0" borderId="1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0" fontId="5" fillId="2" borderId="1" xfId="0" applyFont="1" applyFill="1" applyBorder="1" applyAlignment="1">
      <alignment/>
    </xf>
    <xf numFmtId="1" fontId="5" fillId="2" borderId="0" xfId="0" applyNumberFormat="1" applyFont="1" applyFill="1" applyAlignment="1">
      <alignment/>
    </xf>
    <xf numFmtId="3" fontId="5" fillId="3" borderId="0" xfId="0" applyNumberFormat="1" applyFont="1" applyFill="1" applyAlignment="1">
      <alignment/>
    </xf>
    <xf numFmtId="0" fontId="4" fillId="0" borderId="7" xfId="0" applyFont="1" applyBorder="1" applyAlignment="1">
      <alignment/>
    </xf>
    <xf numFmtId="3" fontId="4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9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70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workbookViewId="0" topLeftCell="A1">
      <selection activeCell="R1" sqref="R1"/>
    </sheetView>
  </sheetViews>
  <sheetFormatPr defaultColWidth="8.8515625" defaultRowHeight="15"/>
  <cols>
    <col min="1" max="1" width="8.8515625" style="5" customWidth="1"/>
    <col min="2" max="2" width="12.140625" style="5" customWidth="1"/>
    <col min="3" max="3" width="10.28125" style="5" bestFit="1" customWidth="1"/>
    <col min="4" max="7" width="9.8515625" style="5" bestFit="1" customWidth="1"/>
    <col min="8" max="8" width="13.421875" style="5" customWidth="1"/>
    <col min="9" max="9" width="12.421875" style="5" customWidth="1"/>
    <col min="10" max="11" width="10.8515625" style="5" bestFit="1" customWidth="1"/>
    <col min="12" max="12" width="9.8515625" style="5" bestFit="1" customWidth="1"/>
    <col min="13" max="13" width="11.28125" style="5" bestFit="1" customWidth="1"/>
    <col min="14" max="14" width="9.8515625" style="5" bestFit="1" customWidth="1"/>
    <col min="15" max="17" width="9.28125" style="5" bestFit="1" customWidth="1"/>
    <col min="18" max="18" width="9.8515625" style="5" bestFit="1" customWidth="1"/>
    <col min="19" max="21" width="9.28125" style="5" bestFit="1" customWidth="1"/>
    <col min="22" max="22" width="8.8515625" style="5" customWidth="1"/>
    <col min="23" max="23" width="24.00390625" style="5" customWidth="1"/>
    <col min="24" max="25" width="9.28125" style="5" bestFit="1" customWidth="1"/>
    <col min="26" max="16384" width="8.8515625" style="5" customWidth="1"/>
  </cols>
  <sheetData>
    <row r="1" spans="1:25" s="21" customFormat="1" ht="66.75" customHeight="1">
      <c r="A1" s="1" t="s">
        <v>0</v>
      </c>
      <c r="B1" s="2" t="s">
        <v>1</v>
      </c>
      <c r="C1" s="2">
        <v>2008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2</v>
      </c>
      <c r="J1" s="3" t="s">
        <v>3</v>
      </c>
      <c r="K1" s="3" t="s">
        <v>4</v>
      </c>
      <c r="L1" s="3" t="s">
        <v>5</v>
      </c>
      <c r="M1" s="3" t="s">
        <v>7</v>
      </c>
      <c r="N1" s="3" t="s">
        <v>2</v>
      </c>
      <c r="O1" s="3" t="s">
        <v>3</v>
      </c>
      <c r="P1" s="3" t="s">
        <v>4</v>
      </c>
      <c r="Q1" s="3" t="s">
        <v>5</v>
      </c>
      <c r="R1" s="3" t="s">
        <v>8</v>
      </c>
      <c r="S1" s="4" t="s">
        <v>9</v>
      </c>
      <c r="T1" s="4" t="s">
        <v>10</v>
      </c>
      <c r="U1" s="4" t="s">
        <v>11</v>
      </c>
      <c r="W1" s="6" t="s">
        <v>12</v>
      </c>
      <c r="Y1" s="21" t="s">
        <v>13</v>
      </c>
    </row>
    <row r="2" spans="1:25" ht="10.5">
      <c r="A2" s="7" t="s">
        <v>14</v>
      </c>
      <c r="B2" s="8">
        <v>18493050</v>
      </c>
      <c r="C2" s="8">
        <v>1361111</v>
      </c>
      <c r="D2" s="9">
        <v>21500</v>
      </c>
      <c r="E2" s="9">
        <v>900300</v>
      </c>
      <c r="F2" s="9">
        <v>1262450</v>
      </c>
      <c r="G2" s="9">
        <v>133400</v>
      </c>
      <c r="H2" s="10">
        <f>SUM(D2:G2)</f>
        <v>2317650</v>
      </c>
      <c r="I2" s="11">
        <v>366898</v>
      </c>
      <c r="J2" s="11">
        <v>265398</v>
      </c>
      <c r="K2" s="11">
        <v>801350</v>
      </c>
      <c r="L2" s="11">
        <v>842000</v>
      </c>
      <c r="M2" s="10">
        <f aca="true" t="shared" si="0" ref="M2:M45">SUM(I2:L2)</f>
        <v>2275646</v>
      </c>
      <c r="N2" s="11">
        <v>283100</v>
      </c>
      <c r="O2" s="11">
        <v>0</v>
      </c>
      <c r="P2" s="11">
        <v>0</v>
      </c>
      <c r="Q2" s="11">
        <v>0</v>
      </c>
      <c r="R2" s="10">
        <f>SUM(N2:Q2)</f>
        <v>283100</v>
      </c>
      <c r="S2" s="5">
        <f aca="true" t="shared" si="1" ref="S2:S47">(+N2+M2+H2+(0.75*C2))/(0.5*B2)</f>
        <v>0.6377778949389095</v>
      </c>
      <c r="T2" s="12">
        <f>+S2*100</f>
        <v>63.77778949389095</v>
      </c>
      <c r="U2" s="12">
        <f>+T2</f>
        <v>63.77778949389095</v>
      </c>
      <c r="W2" s="5">
        <f>+((N2+L2+K2+J2)*0.92+(I2+G2+F2+E2)*0.8+(D2+C2*0.75)*0.5)/(B2/2)</f>
        <v>0.5048496797445527</v>
      </c>
      <c r="X2" s="12">
        <f>+W2*100</f>
        <v>50.48496797445527</v>
      </c>
      <c r="Y2" s="5">
        <v>33</v>
      </c>
    </row>
    <row r="3" spans="1:25" ht="12" customHeight="1">
      <c r="A3" s="13" t="s">
        <v>15</v>
      </c>
      <c r="B3" s="8">
        <v>9872366</v>
      </c>
      <c r="C3" s="8">
        <v>578542</v>
      </c>
      <c r="D3" s="9">
        <v>330000</v>
      </c>
      <c r="E3" s="9">
        <v>475000</v>
      </c>
      <c r="F3" s="9">
        <v>467000</v>
      </c>
      <c r="G3" s="9">
        <v>2179</v>
      </c>
      <c r="H3" s="10">
        <f>SUM(D3:G3)</f>
        <v>1274179</v>
      </c>
      <c r="I3" s="11">
        <v>127500</v>
      </c>
      <c r="J3" s="11">
        <v>284000</v>
      </c>
      <c r="K3" s="11">
        <v>484300</v>
      </c>
      <c r="L3" s="11">
        <v>1003700</v>
      </c>
      <c r="M3" s="10">
        <f t="shared" si="0"/>
        <v>1899500</v>
      </c>
      <c r="N3" s="11">
        <v>2738000</v>
      </c>
      <c r="O3" s="11">
        <v>0</v>
      </c>
      <c r="P3" s="11">
        <v>0</v>
      </c>
      <c r="Q3" s="11">
        <v>0</v>
      </c>
      <c r="R3" s="10">
        <f aca="true" t="shared" si="2" ref="R3:R46">SUM(N3:Q3)</f>
        <v>2738000</v>
      </c>
      <c r="S3" s="5">
        <f t="shared" si="1"/>
        <v>1.285524766808686</v>
      </c>
      <c r="T3" s="12">
        <f aca="true" t="shared" si="3" ref="T3:T47">+S3*100</f>
        <v>128.5524766808686</v>
      </c>
      <c r="U3" s="14">
        <v>100</v>
      </c>
      <c r="W3" s="5">
        <f aca="true" t="shared" si="4" ref="W3:W47">+((N3+L3+K3+J3)*0.92+(I3+G3+F3+E3)*0.8+(D3+C3*0.75)*0.5)/(B3/2)</f>
        <v>1.0916322287889246</v>
      </c>
      <c r="X3" s="12">
        <f aca="true" t="shared" si="5" ref="X3:X49">+W3*100</f>
        <v>109.16322287889247</v>
      </c>
      <c r="Y3" s="5">
        <v>96</v>
      </c>
    </row>
    <row r="4" spans="1:25" ht="12" customHeight="1">
      <c r="A4" s="7" t="s">
        <v>16</v>
      </c>
      <c r="B4" s="8">
        <v>768580.3583999999</v>
      </c>
      <c r="C4" s="8">
        <v>89060</v>
      </c>
      <c r="D4" s="9">
        <v>0</v>
      </c>
      <c r="E4" s="9">
        <v>0</v>
      </c>
      <c r="F4" s="9">
        <v>0</v>
      </c>
      <c r="G4" s="9">
        <v>13650</v>
      </c>
      <c r="H4" s="10">
        <f aca="true" t="shared" si="6" ref="H4:H46">SUM(D4:G4)</f>
        <v>13650</v>
      </c>
      <c r="I4" s="11">
        <v>51900</v>
      </c>
      <c r="J4" s="11">
        <v>0</v>
      </c>
      <c r="K4" s="11">
        <v>21500</v>
      </c>
      <c r="L4" s="11">
        <v>0</v>
      </c>
      <c r="M4" s="10">
        <f t="shared" si="0"/>
        <v>73400</v>
      </c>
      <c r="N4" s="11">
        <v>0</v>
      </c>
      <c r="O4" s="11">
        <v>0</v>
      </c>
      <c r="P4" s="11">
        <v>0</v>
      </c>
      <c r="Q4" s="11">
        <v>0</v>
      </c>
      <c r="R4" s="10">
        <f t="shared" si="2"/>
        <v>0</v>
      </c>
      <c r="S4" s="5">
        <f t="shared" si="1"/>
        <v>0.4003354973064064</v>
      </c>
      <c r="T4" s="12">
        <f t="shared" si="3"/>
        <v>40.03354973064064</v>
      </c>
      <c r="U4" s="12">
        <f aca="true" t="shared" si="7" ref="U4:U47">+T4</f>
        <v>40.03354973064064</v>
      </c>
      <c r="W4" s="5">
        <f t="shared" si="4"/>
        <v>0.2748378847980719</v>
      </c>
      <c r="X4" s="12">
        <f t="shared" si="5"/>
        <v>27.483788479807192</v>
      </c>
      <c r="Y4" s="12">
        <f>+X4</f>
        <v>27.483788479807192</v>
      </c>
    </row>
    <row r="5" spans="1:25" ht="10.5">
      <c r="A5" s="7" t="s">
        <v>17</v>
      </c>
      <c r="B5" s="8">
        <v>16096850</v>
      </c>
      <c r="C5" s="8">
        <v>1011491</v>
      </c>
      <c r="D5" s="9">
        <v>20000</v>
      </c>
      <c r="E5" s="9">
        <v>643500</v>
      </c>
      <c r="F5" s="9">
        <v>5750</v>
      </c>
      <c r="G5" s="9">
        <v>290000</v>
      </c>
      <c r="H5" s="10">
        <f t="shared" si="6"/>
        <v>959250</v>
      </c>
      <c r="I5" s="11">
        <v>870</v>
      </c>
      <c r="J5" s="11">
        <v>0</v>
      </c>
      <c r="K5" s="11">
        <v>2800384</v>
      </c>
      <c r="L5" s="11">
        <v>2419150</v>
      </c>
      <c r="M5" s="10">
        <f t="shared" si="0"/>
        <v>5220404</v>
      </c>
      <c r="N5" s="11">
        <v>0</v>
      </c>
      <c r="O5" s="11">
        <v>0</v>
      </c>
      <c r="P5" s="11">
        <v>0</v>
      </c>
      <c r="Q5" s="11">
        <v>0</v>
      </c>
      <c r="R5" s="10">
        <f t="shared" si="2"/>
        <v>0</v>
      </c>
      <c r="S5" s="5">
        <f t="shared" si="1"/>
        <v>0.8620658389684939</v>
      </c>
      <c r="T5" s="12">
        <f t="shared" si="3"/>
        <v>86.20658389684938</v>
      </c>
      <c r="U5" s="12">
        <f t="shared" si="7"/>
        <v>86.20658389684938</v>
      </c>
      <c r="W5" s="5">
        <f t="shared" si="4"/>
        <v>0.7384521077105148</v>
      </c>
      <c r="X5" s="12">
        <f t="shared" si="5"/>
        <v>73.84521077105148</v>
      </c>
      <c r="Y5" s="12">
        <f aca="true" t="shared" si="8" ref="Y5:Y49">+X5</f>
        <v>73.84521077105148</v>
      </c>
    </row>
    <row r="6" spans="1:25" ht="10.5">
      <c r="A6" s="13" t="s">
        <v>18</v>
      </c>
      <c r="B6" s="8">
        <v>7451276.04</v>
      </c>
      <c r="C6" s="8">
        <v>1514765</v>
      </c>
      <c r="D6" s="9">
        <v>950000</v>
      </c>
      <c r="E6" s="9">
        <v>89328</v>
      </c>
      <c r="F6" s="9">
        <v>395000</v>
      </c>
      <c r="G6" s="9">
        <v>730525</v>
      </c>
      <c r="H6" s="10">
        <f t="shared" si="6"/>
        <v>2164853</v>
      </c>
      <c r="I6" s="11">
        <v>0</v>
      </c>
      <c r="J6" s="11">
        <v>480000</v>
      </c>
      <c r="K6" s="11">
        <v>2386104</v>
      </c>
      <c r="L6" s="11">
        <v>112500</v>
      </c>
      <c r="M6" s="10">
        <f t="shared" si="0"/>
        <v>2978604</v>
      </c>
      <c r="N6" s="11">
        <v>415000</v>
      </c>
      <c r="O6" s="11">
        <v>0</v>
      </c>
      <c r="P6" s="11">
        <v>0</v>
      </c>
      <c r="Q6" s="11">
        <v>0</v>
      </c>
      <c r="R6" s="10">
        <f t="shared" si="2"/>
        <v>415000</v>
      </c>
      <c r="S6" s="5">
        <f t="shared" si="1"/>
        <v>1.7968816922262352</v>
      </c>
      <c r="T6" s="12">
        <f t="shared" si="3"/>
        <v>179.68816922262351</v>
      </c>
      <c r="U6" s="14">
        <v>100</v>
      </c>
      <c r="W6" s="5">
        <f t="shared" si="4"/>
        <v>1.3788336192145687</v>
      </c>
      <c r="X6" s="12">
        <f t="shared" si="5"/>
        <v>137.88336192145687</v>
      </c>
      <c r="Y6" s="14">
        <v>100</v>
      </c>
    </row>
    <row r="7" spans="1:25" ht="10.5">
      <c r="A7" s="7" t="s">
        <v>19</v>
      </c>
      <c r="B7" s="8">
        <v>4592236</v>
      </c>
      <c r="C7" s="8">
        <v>891536</v>
      </c>
      <c r="D7" s="9">
        <v>0</v>
      </c>
      <c r="E7" s="9">
        <v>500000</v>
      </c>
      <c r="F7" s="9">
        <v>600000</v>
      </c>
      <c r="G7" s="9">
        <v>0</v>
      </c>
      <c r="H7" s="10">
        <f t="shared" si="6"/>
        <v>1100000</v>
      </c>
      <c r="I7" s="11">
        <v>0</v>
      </c>
      <c r="J7" s="11">
        <v>0</v>
      </c>
      <c r="K7" s="11">
        <v>0</v>
      </c>
      <c r="L7" s="11">
        <v>0</v>
      </c>
      <c r="M7" s="10">
        <f t="shared" si="0"/>
        <v>0</v>
      </c>
      <c r="N7" s="11">
        <v>15000</v>
      </c>
      <c r="O7" s="11">
        <v>0</v>
      </c>
      <c r="P7" s="11">
        <v>0</v>
      </c>
      <c r="Q7" s="11">
        <v>0</v>
      </c>
      <c r="R7" s="10">
        <f t="shared" si="2"/>
        <v>15000</v>
      </c>
      <c r="S7" s="5">
        <f t="shared" si="1"/>
        <v>0.7768119931118522</v>
      </c>
      <c r="T7" s="12">
        <f t="shared" si="3"/>
        <v>77.68119931118522</v>
      </c>
      <c r="U7" s="12">
        <f t="shared" si="7"/>
        <v>77.68119931118522</v>
      </c>
      <c r="W7" s="5">
        <f t="shared" si="4"/>
        <v>0.5348705946297185</v>
      </c>
      <c r="X7" s="12">
        <f t="shared" si="5"/>
        <v>53.48705946297186</v>
      </c>
      <c r="Y7" s="12">
        <f t="shared" si="8"/>
        <v>53.48705946297186</v>
      </c>
    </row>
    <row r="8" spans="1:25" ht="10.5">
      <c r="A8" s="7" t="s">
        <v>20</v>
      </c>
      <c r="B8" s="8">
        <v>19661990</v>
      </c>
      <c r="C8" s="8">
        <v>1187372</v>
      </c>
      <c r="D8" s="9">
        <v>101000</v>
      </c>
      <c r="E8" s="9">
        <v>42600</v>
      </c>
      <c r="F8" s="9">
        <v>187500</v>
      </c>
      <c r="G8" s="9">
        <v>20070</v>
      </c>
      <c r="H8" s="10">
        <f t="shared" si="6"/>
        <v>351170</v>
      </c>
      <c r="I8" s="11">
        <v>34400</v>
      </c>
      <c r="J8" s="11">
        <v>0</v>
      </c>
      <c r="K8" s="11">
        <v>4150</v>
      </c>
      <c r="L8" s="11">
        <v>25400</v>
      </c>
      <c r="M8" s="10">
        <f t="shared" si="0"/>
        <v>63950</v>
      </c>
      <c r="N8" s="11">
        <v>5398233</v>
      </c>
      <c r="O8" s="11">
        <v>0</v>
      </c>
      <c r="P8" s="11">
        <v>0</v>
      </c>
      <c r="Q8" s="11">
        <v>0</v>
      </c>
      <c r="R8" s="10">
        <f t="shared" si="2"/>
        <v>5398233</v>
      </c>
      <c r="S8" s="5">
        <f t="shared" si="1"/>
        <v>0.6819128684329511</v>
      </c>
      <c r="T8" s="12">
        <f t="shared" si="3"/>
        <v>68.1912868432951</v>
      </c>
      <c r="U8" s="12">
        <f t="shared" si="7"/>
        <v>68.1912868432951</v>
      </c>
      <c r="W8" s="5">
        <f t="shared" si="4"/>
        <v>0.5815261690195144</v>
      </c>
      <c r="X8" s="12">
        <f t="shared" si="5"/>
        <v>58.15261690195144</v>
      </c>
      <c r="Y8" s="12">
        <f t="shared" si="8"/>
        <v>58.15261690195144</v>
      </c>
    </row>
    <row r="9" spans="1:25" ht="10.5">
      <c r="A9" s="13" t="s">
        <v>21</v>
      </c>
      <c r="B9" s="8">
        <v>11597751</v>
      </c>
      <c r="C9" s="8">
        <v>98348</v>
      </c>
      <c r="D9" s="9">
        <v>0</v>
      </c>
      <c r="E9" s="9">
        <v>400</v>
      </c>
      <c r="F9" s="9">
        <v>65600</v>
      </c>
      <c r="G9" s="9">
        <v>353495</v>
      </c>
      <c r="H9" s="10">
        <f t="shared" si="6"/>
        <v>419495</v>
      </c>
      <c r="I9" s="11">
        <v>3000</v>
      </c>
      <c r="J9" s="11">
        <v>3000</v>
      </c>
      <c r="K9" s="11">
        <v>305495</v>
      </c>
      <c r="L9" s="11">
        <v>934330</v>
      </c>
      <c r="M9" s="10">
        <f t="shared" si="0"/>
        <v>1245825</v>
      </c>
      <c r="N9" s="11">
        <v>6922168</v>
      </c>
      <c r="O9" s="11">
        <v>0</v>
      </c>
      <c r="P9" s="11">
        <v>0</v>
      </c>
      <c r="Q9" s="11">
        <v>0</v>
      </c>
      <c r="R9" s="10">
        <f t="shared" si="2"/>
        <v>6922168</v>
      </c>
      <c r="S9" s="5">
        <f t="shared" si="1"/>
        <v>1.4936083728647045</v>
      </c>
      <c r="T9" s="12">
        <f t="shared" si="3"/>
        <v>149.36083728647046</v>
      </c>
      <c r="U9" s="14">
        <v>100</v>
      </c>
      <c r="W9" s="5">
        <f t="shared" si="4"/>
        <v>1.3600343825281298</v>
      </c>
      <c r="X9" s="12">
        <f t="shared" si="5"/>
        <v>136.00343825281297</v>
      </c>
      <c r="Y9" s="14">
        <v>100</v>
      </c>
    </row>
    <row r="10" spans="1:25" ht="10.5">
      <c r="A10" s="13" t="s">
        <v>22</v>
      </c>
      <c r="B10" s="8">
        <v>666986</v>
      </c>
      <c r="C10" s="8">
        <v>52147</v>
      </c>
      <c r="D10" s="9">
        <v>31695</v>
      </c>
      <c r="E10" s="9">
        <v>0</v>
      </c>
      <c r="F10" s="9">
        <v>0</v>
      </c>
      <c r="G10" s="9">
        <v>4200</v>
      </c>
      <c r="H10" s="10">
        <f t="shared" si="6"/>
        <v>35895</v>
      </c>
      <c r="I10" s="11">
        <v>0</v>
      </c>
      <c r="J10" s="11">
        <v>0</v>
      </c>
      <c r="K10" s="11">
        <v>0</v>
      </c>
      <c r="L10" s="11">
        <v>273162</v>
      </c>
      <c r="M10" s="10">
        <f t="shared" si="0"/>
        <v>273162</v>
      </c>
      <c r="N10" s="11">
        <v>0</v>
      </c>
      <c r="O10" s="11">
        <v>0</v>
      </c>
      <c r="P10" s="11">
        <v>0</v>
      </c>
      <c r="Q10" s="11">
        <v>0</v>
      </c>
      <c r="R10" s="10">
        <f t="shared" si="2"/>
        <v>0</v>
      </c>
      <c r="S10" s="5">
        <f t="shared" si="1"/>
        <v>1.044001673198538</v>
      </c>
      <c r="T10" s="12">
        <f t="shared" si="3"/>
        <v>104.4001673198538</v>
      </c>
      <c r="U10" s="14">
        <v>100</v>
      </c>
      <c r="W10" s="5">
        <f t="shared" si="4"/>
        <v>0.869798361584801</v>
      </c>
      <c r="X10" s="12">
        <f t="shared" si="5"/>
        <v>86.9798361584801</v>
      </c>
      <c r="Y10" s="12">
        <f t="shared" si="8"/>
        <v>86.9798361584801</v>
      </c>
    </row>
    <row r="11" spans="1:25" ht="10.5">
      <c r="A11" s="13" t="s">
        <v>23</v>
      </c>
      <c r="B11" s="8">
        <v>4011220</v>
      </c>
      <c r="C11" s="8">
        <v>226519</v>
      </c>
      <c r="D11" s="9">
        <v>0</v>
      </c>
      <c r="E11" s="9">
        <v>0</v>
      </c>
      <c r="F11" s="9">
        <v>880890</v>
      </c>
      <c r="G11" s="9">
        <v>46300</v>
      </c>
      <c r="H11" s="10">
        <f t="shared" si="6"/>
        <v>927190</v>
      </c>
      <c r="I11" s="11">
        <v>0</v>
      </c>
      <c r="J11" s="11">
        <v>17200</v>
      </c>
      <c r="K11" s="11">
        <v>889303</v>
      </c>
      <c r="L11" s="11">
        <v>1214603</v>
      </c>
      <c r="M11" s="10">
        <f t="shared" si="0"/>
        <v>2121106</v>
      </c>
      <c r="N11" s="11">
        <v>14000</v>
      </c>
      <c r="O11" s="11">
        <v>0</v>
      </c>
      <c r="P11" s="11">
        <v>0</v>
      </c>
      <c r="Q11" s="11">
        <v>0</v>
      </c>
      <c r="R11" s="10">
        <f t="shared" si="2"/>
        <v>14000</v>
      </c>
      <c r="S11" s="5">
        <f t="shared" si="1"/>
        <v>1.6115721650769592</v>
      </c>
      <c r="T11" s="12">
        <f t="shared" si="3"/>
        <v>161.15721650769592</v>
      </c>
      <c r="U11" s="14">
        <v>100</v>
      </c>
      <c r="W11" s="5">
        <f t="shared" si="4"/>
        <v>1.3915936523052836</v>
      </c>
      <c r="X11" s="12">
        <f t="shared" si="5"/>
        <v>139.15936523052835</v>
      </c>
      <c r="Y11" s="14">
        <v>100</v>
      </c>
    </row>
    <row r="12" spans="1:25" ht="10.5">
      <c r="A12" s="7" t="s">
        <v>24</v>
      </c>
      <c r="B12" s="8">
        <v>20374640</v>
      </c>
      <c r="C12" s="8">
        <v>1591308</v>
      </c>
      <c r="D12" s="9">
        <v>3000</v>
      </c>
      <c r="E12" s="9">
        <v>399400</v>
      </c>
      <c r="F12" s="9">
        <v>5000</v>
      </c>
      <c r="G12" s="9">
        <v>5000</v>
      </c>
      <c r="H12" s="10">
        <f t="shared" si="6"/>
        <v>412400</v>
      </c>
      <c r="I12" s="11">
        <v>252348</v>
      </c>
      <c r="J12" s="11">
        <v>0</v>
      </c>
      <c r="K12" s="11">
        <v>5681375</v>
      </c>
      <c r="L12" s="11">
        <v>2224500</v>
      </c>
      <c r="M12" s="10">
        <f t="shared" si="0"/>
        <v>8158223</v>
      </c>
      <c r="N12" s="11">
        <v>200</v>
      </c>
      <c r="O12" s="11">
        <v>0</v>
      </c>
      <c r="P12" s="11">
        <v>0</v>
      </c>
      <c r="Q12" s="11">
        <v>0</v>
      </c>
      <c r="R12" s="10">
        <f t="shared" si="2"/>
        <v>200</v>
      </c>
      <c r="S12" s="5">
        <f t="shared" si="1"/>
        <v>0.9584762233835789</v>
      </c>
      <c r="T12" s="12">
        <f t="shared" si="3"/>
        <v>95.84762233835788</v>
      </c>
      <c r="U12" s="12">
        <f t="shared" si="7"/>
        <v>95.84762233835788</v>
      </c>
      <c r="W12" s="5">
        <f t="shared" si="4"/>
        <v>0.8246749783063652</v>
      </c>
      <c r="X12" s="12">
        <f t="shared" si="5"/>
        <v>82.46749783063652</v>
      </c>
      <c r="Y12" s="12">
        <f t="shared" si="8"/>
        <v>82.46749783063652</v>
      </c>
    </row>
    <row r="13" spans="1:25" ht="10.5">
      <c r="A13" s="7" t="s">
        <v>25</v>
      </c>
      <c r="B13" s="8">
        <v>324546.24</v>
      </c>
      <c r="C13" s="8">
        <v>82111</v>
      </c>
      <c r="D13" s="9">
        <v>0</v>
      </c>
      <c r="E13" s="9">
        <v>0</v>
      </c>
      <c r="F13" s="9">
        <v>0</v>
      </c>
      <c r="G13" s="9">
        <v>0</v>
      </c>
      <c r="H13" s="10">
        <f t="shared" si="6"/>
        <v>0</v>
      </c>
      <c r="I13" s="11">
        <v>0</v>
      </c>
      <c r="J13" s="11">
        <v>28500</v>
      </c>
      <c r="K13" s="11">
        <v>0</v>
      </c>
      <c r="L13" s="11">
        <v>200</v>
      </c>
      <c r="M13" s="10">
        <f t="shared" si="0"/>
        <v>28700</v>
      </c>
      <c r="N13" s="11">
        <v>0</v>
      </c>
      <c r="O13" s="11">
        <v>0</v>
      </c>
      <c r="P13" s="11">
        <v>0</v>
      </c>
      <c r="Q13" s="11">
        <v>0</v>
      </c>
      <c r="R13" s="10">
        <f t="shared" si="2"/>
        <v>0</v>
      </c>
      <c r="S13" s="5">
        <f t="shared" si="1"/>
        <v>0.5563660204475024</v>
      </c>
      <c r="T13" s="12">
        <f t="shared" si="3"/>
        <v>55.63660204475024</v>
      </c>
      <c r="U13" s="12">
        <f t="shared" si="7"/>
        <v>55.63660204475024</v>
      </c>
      <c r="W13" s="5">
        <f t="shared" si="4"/>
        <v>0.3524651833895842</v>
      </c>
      <c r="X13" s="12">
        <f t="shared" si="5"/>
        <v>35.246518338958424</v>
      </c>
      <c r="Y13" s="12">
        <f t="shared" si="8"/>
        <v>35.246518338958424</v>
      </c>
    </row>
    <row r="14" spans="1:25" ht="10.5">
      <c r="A14" s="7" t="s">
        <v>26</v>
      </c>
      <c r="B14" s="8">
        <v>69009704</v>
      </c>
      <c r="C14" s="8">
        <v>8506216</v>
      </c>
      <c r="D14" s="9">
        <v>865085</v>
      </c>
      <c r="E14" s="9">
        <v>5075081</v>
      </c>
      <c r="F14" s="9">
        <v>535104</v>
      </c>
      <c r="G14" s="9">
        <v>654100</v>
      </c>
      <c r="H14" s="10">
        <f t="shared" si="6"/>
        <v>7129370</v>
      </c>
      <c r="I14" s="11">
        <v>0</v>
      </c>
      <c r="J14" s="11">
        <v>5162427</v>
      </c>
      <c r="K14" s="11">
        <v>6103868</v>
      </c>
      <c r="L14" s="11">
        <v>887992</v>
      </c>
      <c r="M14" s="10">
        <f t="shared" si="0"/>
        <v>12154287</v>
      </c>
      <c r="N14" s="11">
        <v>1283893</v>
      </c>
      <c r="O14" s="11">
        <v>0</v>
      </c>
      <c r="P14" s="11">
        <v>0</v>
      </c>
      <c r="Q14" s="11">
        <v>0</v>
      </c>
      <c r="R14" s="10">
        <f t="shared" si="2"/>
        <v>1283893</v>
      </c>
      <c r="S14" s="5">
        <f t="shared" si="1"/>
        <v>0.78096877505807</v>
      </c>
      <c r="T14" s="12">
        <f t="shared" si="3"/>
        <v>78.096877505807</v>
      </c>
      <c r="U14" s="12">
        <f t="shared" si="7"/>
        <v>78.096877505807</v>
      </c>
      <c r="W14" s="5">
        <f t="shared" si="4"/>
        <v>0.6085210016260902</v>
      </c>
      <c r="X14" s="12">
        <f t="shared" si="5"/>
        <v>60.85210016260903</v>
      </c>
      <c r="Y14" s="12">
        <f t="shared" si="8"/>
        <v>60.85210016260903</v>
      </c>
    </row>
    <row r="15" spans="1:25" ht="10.5">
      <c r="A15" s="7" t="s">
        <v>27</v>
      </c>
      <c r="B15" s="8">
        <v>545238</v>
      </c>
      <c r="C15" s="8">
        <v>105150</v>
      </c>
      <c r="D15" s="9">
        <v>3000</v>
      </c>
      <c r="E15" s="9">
        <v>0</v>
      </c>
      <c r="F15" s="9">
        <v>0</v>
      </c>
      <c r="G15" s="9">
        <v>0</v>
      </c>
      <c r="H15" s="10">
        <f t="shared" si="6"/>
        <v>3000</v>
      </c>
      <c r="I15" s="11">
        <v>0</v>
      </c>
      <c r="J15" s="11">
        <v>3000</v>
      </c>
      <c r="K15" s="11">
        <v>0</v>
      </c>
      <c r="L15" s="11">
        <v>0</v>
      </c>
      <c r="M15" s="10">
        <f t="shared" si="0"/>
        <v>3000</v>
      </c>
      <c r="N15" s="11">
        <v>0</v>
      </c>
      <c r="O15" s="11">
        <v>0</v>
      </c>
      <c r="P15" s="11">
        <v>0</v>
      </c>
      <c r="Q15" s="11">
        <v>0</v>
      </c>
      <c r="R15" s="10">
        <f t="shared" si="2"/>
        <v>0</v>
      </c>
      <c r="S15" s="5">
        <f t="shared" si="1"/>
        <v>0.3112860805739879</v>
      </c>
      <c r="T15" s="12">
        <f t="shared" si="3"/>
        <v>31.128608057398786</v>
      </c>
      <c r="U15" s="12">
        <f t="shared" si="7"/>
        <v>31.128608057398786</v>
      </c>
      <c r="W15" s="5">
        <f t="shared" si="4"/>
        <v>0.16026487515543672</v>
      </c>
      <c r="X15" s="12">
        <f t="shared" si="5"/>
        <v>16.02648751554367</v>
      </c>
      <c r="Y15" s="12">
        <f t="shared" si="8"/>
        <v>16.02648751554367</v>
      </c>
    </row>
    <row r="16" spans="1:25" ht="10.5">
      <c r="A16" s="13" t="s">
        <v>28</v>
      </c>
      <c r="B16" s="8">
        <v>3566379.85</v>
      </c>
      <c r="C16" s="8">
        <v>455442</v>
      </c>
      <c r="D16" s="9">
        <v>150000</v>
      </c>
      <c r="E16" s="9">
        <v>25000</v>
      </c>
      <c r="F16" s="9">
        <v>0</v>
      </c>
      <c r="G16" s="9">
        <v>0</v>
      </c>
      <c r="H16" s="10">
        <f t="shared" si="6"/>
        <v>175000</v>
      </c>
      <c r="I16" s="11">
        <v>0</v>
      </c>
      <c r="J16" s="11">
        <v>0</v>
      </c>
      <c r="K16" s="11">
        <v>190000</v>
      </c>
      <c r="L16" s="11">
        <v>1146500</v>
      </c>
      <c r="M16" s="10">
        <f t="shared" si="0"/>
        <v>1336500</v>
      </c>
      <c r="N16" s="11">
        <v>0</v>
      </c>
      <c r="O16" s="11">
        <v>0</v>
      </c>
      <c r="P16" s="11">
        <v>0</v>
      </c>
      <c r="Q16" s="11">
        <v>0</v>
      </c>
      <c r="R16" s="10">
        <f t="shared" si="2"/>
        <v>0</v>
      </c>
      <c r="S16" s="5">
        <f t="shared" si="1"/>
        <v>1.0391946892589132</v>
      </c>
      <c r="T16" s="12">
        <f t="shared" si="3"/>
        <v>103.91946892589132</v>
      </c>
      <c r="U16" s="14">
        <v>100</v>
      </c>
      <c r="W16" s="5">
        <f t="shared" si="4"/>
        <v>0.8385930904135184</v>
      </c>
      <c r="X16" s="12">
        <f t="shared" si="5"/>
        <v>83.85930904135184</v>
      </c>
      <c r="Y16" s="12">
        <f t="shared" si="8"/>
        <v>83.85930904135184</v>
      </c>
    </row>
    <row r="17" spans="1:25" ht="10.5">
      <c r="A17" s="7" t="s">
        <v>29</v>
      </c>
      <c r="B17" s="8">
        <v>54814475.232</v>
      </c>
      <c r="C17" s="8">
        <v>1935148</v>
      </c>
      <c r="D17" s="9">
        <v>50160</v>
      </c>
      <c r="E17" s="9">
        <v>150000</v>
      </c>
      <c r="F17" s="9">
        <v>276100</v>
      </c>
      <c r="G17" s="9">
        <v>1720029</v>
      </c>
      <c r="H17" s="10">
        <f t="shared" si="6"/>
        <v>2196289</v>
      </c>
      <c r="I17" s="11">
        <v>10123466</v>
      </c>
      <c r="J17" s="11">
        <v>872440</v>
      </c>
      <c r="K17" s="11">
        <v>647000</v>
      </c>
      <c r="L17" s="11">
        <v>3503500</v>
      </c>
      <c r="M17" s="10">
        <f t="shared" si="0"/>
        <v>15146406</v>
      </c>
      <c r="N17" s="11">
        <v>42800</v>
      </c>
      <c r="O17" s="11">
        <v>0</v>
      </c>
      <c r="P17" s="11">
        <v>0</v>
      </c>
      <c r="Q17" s="11">
        <v>0</v>
      </c>
      <c r="R17" s="10">
        <f t="shared" si="2"/>
        <v>42800</v>
      </c>
      <c r="S17" s="5">
        <f t="shared" si="1"/>
        <v>0.6872949497472624</v>
      </c>
      <c r="T17" s="12">
        <f t="shared" si="3"/>
        <v>68.72949497472624</v>
      </c>
      <c r="U17" s="12">
        <f t="shared" si="7"/>
        <v>68.72949497472624</v>
      </c>
      <c r="W17" s="5">
        <f t="shared" si="4"/>
        <v>0.5555801541674057</v>
      </c>
      <c r="X17" s="12">
        <f t="shared" si="5"/>
        <v>55.55801541674057</v>
      </c>
      <c r="Y17" s="12">
        <f t="shared" si="8"/>
        <v>55.55801541674057</v>
      </c>
    </row>
    <row r="18" spans="1:25" ht="10.5">
      <c r="A18" s="7" t="s">
        <v>30</v>
      </c>
      <c r="B18" s="8">
        <v>1389756</v>
      </c>
      <c r="C18" s="8">
        <v>12700</v>
      </c>
      <c r="D18" s="9">
        <v>0</v>
      </c>
      <c r="E18" s="9">
        <v>1179</v>
      </c>
      <c r="F18" s="9">
        <v>0</v>
      </c>
      <c r="G18" s="9">
        <v>1500</v>
      </c>
      <c r="H18" s="10">
        <f t="shared" si="6"/>
        <v>2679</v>
      </c>
      <c r="I18" s="11">
        <v>120000</v>
      </c>
      <c r="J18" s="11">
        <v>0</v>
      </c>
      <c r="K18" s="11">
        <v>600</v>
      </c>
      <c r="L18" s="11">
        <v>8000</v>
      </c>
      <c r="M18" s="10">
        <f t="shared" si="0"/>
        <v>128600</v>
      </c>
      <c r="N18" s="11">
        <v>0</v>
      </c>
      <c r="O18" s="11">
        <v>0</v>
      </c>
      <c r="P18" s="11">
        <v>0</v>
      </c>
      <c r="Q18" s="11">
        <v>0</v>
      </c>
      <c r="R18" s="10">
        <f t="shared" si="2"/>
        <v>0</v>
      </c>
      <c r="S18" s="5">
        <f t="shared" si="1"/>
        <v>0.20263125325596723</v>
      </c>
      <c r="T18" s="12">
        <f t="shared" si="3"/>
        <v>20.26312532559672</v>
      </c>
      <c r="U18" s="12">
        <f t="shared" si="7"/>
        <v>20.26312532559672</v>
      </c>
      <c r="W18" s="5">
        <f t="shared" si="4"/>
        <v>0.15947792274327294</v>
      </c>
      <c r="X18" s="12">
        <f t="shared" si="5"/>
        <v>15.947792274327293</v>
      </c>
      <c r="Y18" s="12">
        <f t="shared" si="8"/>
        <v>15.947792274327293</v>
      </c>
    </row>
    <row r="19" spans="1:25" ht="10.5">
      <c r="A19" s="13" t="s">
        <v>31</v>
      </c>
      <c r="B19" s="8">
        <v>1844665</v>
      </c>
      <c r="C19" s="8">
        <v>324048</v>
      </c>
      <c r="D19" s="9">
        <v>0</v>
      </c>
      <c r="E19" s="9">
        <v>0</v>
      </c>
      <c r="F19" s="9">
        <v>1250</v>
      </c>
      <c r="G19" s="9">
        <v>0</v>
      </c>
      <c r="H19" s="10">
        <f t="shared" si="6"/>
        <v>1250</v>
      </c>
      <c r="I19" s="11">
        <v>218827</v>
      </c>
      <c r="J19" s="11">
        <v>0</v>
      </c>
      <c r="K19" s="11">
        <v>28138</v>
      </c>
      <c r="L19" s="11">
        <v>397390</v>
      </c>
      <c r="M19" s="10">
        <f t="shared" si="0"/>
        <v>644355</v>
      </c>
      <c r="N19" s="11">
        <v>188206</v>
      </c>
      <c r="O19" s="11">
        <v>0</v>
      </c>
      <c r="P19" s="11">
        <v>0</v>
      </c>
      <c r="Q19" s="11">
        <v>0</v>
      </c>
      <c r="R19" s="10">
        <f t="shared" si="2"/>
        <v>188206</v>
      </c>
      <c r="S19" s="5">
        <f t="shared" si="1"/>
        <v>1.1675258109195978</v>
      </c>
      <c r="T19" s="12">
        <f t="shared" si="3"/>
        <v>116.75258109195978</v>
      </c>
      <c r="U19" s="14">
        <v>100</v>
      </c>
      <c r="W19" s="5">
        <f t="shared" si="4"/>
        <v>0.9348200133899651</v>
      </c>
      <c r="X19" s="12">
        <f t="shared" si="5"/>
        <v>93.48200133899651</v>
      </c>
      <c r="Y19" s="12">
        <f t="shared" si="8"/>
        <v>93.48200133899651</v>
      </c>
    </row>
    <row r="20" spans="1:25" ht="10.5">
      <c r="A20" s="7" t="s">
        <v>32</v>
      </c>
      <c r="B20" s="8">
        <v>24890170</v>
      </c>
      <c r="C20" s="8">
        <v>2663727</v>
      </c>
      <c r="D20" s="9">
        <v>598498</v>
      </c>
      <c r="E20" s="9">
        <v>754100</v>
      </c>
      <c r="F20" s="9">
        <v>60250</v>
      </c>
      <c r="G20" s="9">
        <v>202900</v>
      </c>
      <c r="H20" s="10">
        <f t="shared" si="6"/>
        <v>1615748</v>
      </c>
      <c r="I20" s="11">
        <v>670020</v>
      </c>
      <c r="J20" s="11">
        <v>325000</v>
      </c>
      <c r="K20" s="11">
        <v>859800</v>
      </c>
      <c r="L20" s="11">
        <v>3885885</v>
      </c>
      <c r="M20" s="10">
        <f t="shared" si="0"/>
        <v>5740705</v>
      </c>
      <c r="N20" s="11">
        <v>69714</v>
      </c>
      <c r="O20" s="11">
        <v>0</v>
      </c>
      <c r="P20" s="11">
        <v>0</v>
      </c>
      <c r="Q20" s="11">
        <v>0</v>
      </c>
      <c r="R20" s="10">
        <f t="shared" si="2"/>
        <v>69714</v>
      </c>
      <c r="S20" s="5">
        <f t="shared" si="1"/>
        <v>0.7572437030361785</v>
      </c>
      <c r="T20" s="12">
        <f t="shared" si="3"/>
        <v>75.72437030361785</v>
      </c>
      <c r="U20" s="12">
        <f t="shared" si="7"/>
        <v>75.72437030361785</v>
      </c>
      <c r="W20" s="5">
        <f t="shared" si="4"/>
        <v>0.5927745535687382</v>
      </c>
      <c r="X20" s="12">
        <f t="shared" si="5"/>
        <v>59.27745535687382</v>
      </c>
      <c r="Y20" s="12">
        <f t="shared" si="8"/>
        <v>59.27745535687382</v>
      </c>
    </row>
    <row r="21" spans="1:25" ht="10.5">
      <c r="A21" s="7" t="s">
        <v>33</v>
      </c>
      <c r="B21" s="8">
        <v>10027660</v>
      </c>
      <c r="C21" s="8">
        <v>115288</v>
      </c>
      <c r="D21" s="9">
        <v>4980</v>
      </c>
      <c r="E21" s="9">
        <v>1470234</v>
      </c>
      <c r="F21" s="9">
        <v>1554717</v>
      </c>
      <c r="G21" s="9">
        <v>413750</v>
      </c>
      <c r="H21" s="10">
        <f t="shared" si="6"/>
        <v>3443681</v>
      </c>
      <c r="I21" s="11">
        <v>0</v>
      </c>
      <c r="J21" s="11">
        <v>16900</v>
      </c>
      <c r="K21" s="11">
        <v>0</v>
      </c>
      <c r="L21" s="11">
        <v>22699</v>
      </c>
      <c r="M21" s="10">
        <f t="shared" si="0"/>
        <v>39599</v>
      </c>
      <c r="N21" s="11">
        <v>0</v>
      </c>
      <c r="O21" s="11">
        <v>0</v>
      </c>
      <c r="P21" s="11">
        <v>0</v>
      </c>
      <c r="Q21" s="11">
        <v>0</v>
      </c>
      <c r="R21" s="10">
        <f t="shared" si="2"/>
        <v>0</v>
      </c>
      <c r="S21" s="5">
        <f t="shared" si="1"/>
        <v>0.711979863697014</v>
      </c>
      <c r="T21" s="12">
        <f t="shared" si="3"/>
        <v>71.19798636970141</v>
      </c>
      <c r="U21" s="12">
        <f t="shared" si="7"/>
        <v>71.19798636970141</v>
      </c>
      <c r="W21" s="5">
        <f t="shared" si="4"/>
        <v>0.5650600199847223</v>
      </c>
      <c r="X21" s="12">
        <f t="shared" si="5"/>
        <v>56.506001998472236</v>
      </c>
      <c r="Y21" s="12">
        <f t="shared" si="8"/>
        <v>56.506001998472236</v>
      </c>
    </row>
    <row r="22" spans="1:25" ht="10.5">
      <c r="A22" s="7" t="s">
        <v>34</v>
      </c>
      <c r="B22" s="8">
        <v>1798446</v>
      </c>
      <c r="C22" s="8">
        <v>129773</v>
      </c>
      <c r="D22" s="9">
        <v>0</v>
      </c>
      <c r="E22" s="9">
        <v>35000</v>
      </c>
      <c r="F22" s="9">
        <v>45108</v>
      </c>
      <c r="G22" s="9">
        <v>0</v>
      </c>
      <c r="H22" s="10">
        <f t="shared" si="6"/>
        <v>80108</v>
      </c>
      <c r="I22" s="11">
        <v>0</v>
      </c>
      <c r="J22" s="11">
        <v>0</v>
      </c>
      <c r="K22" s="11">
        <v>0</v>
      </c>
      <c r="L22" s="11">
        <v>12500</v>
      </c>
      <c r="M22" s="10">
        <f t="shared" si="0"/>
        <v>12500</v>
      </c>
      <c r="N22" s="11">
        <v>585200</v>
      </c>
      <c r="O22" s="11">
        <v>0</v>
      </c>
      <c r="P22" s="11">
        <v>0</v>
      </c>
      <c r="Q22" s="11">
        <v>0</v>
      </c>
      <c r="R22" s="10">
        <f t="shared" si="2"/>
        <v>585200</v>
      </c>
      <c r="S22" s="5">
        <f t="shared" si="1"/>
        <v>0.8620083672237031</v>
      </c>
      <c r="T22" s="12">
        <f t="shared" si="3"/>
        <v>86.20083672237031</v>
      </c>
      <c r="U22" s="12">
        <f t="shared" si="7"/>
        <v>86.20083672237031</v>
      </c>
      <c r="W22" s="5">
        <f t="shared" si="4"/>
        <v>0.7368976049322582</v>
      </c>
      <c r="X22" s="12">
        <f t="shared" si="5"/>
        <v>73.68976049322582</v>
      </c>
      <c r="Y22" s="12">
        <f t="shared" si="8"/>
        <v>73.68976049322582</v>
      </c>
    </row>
    <row r="23" spans="1:25" ht="10.5">
      <c r="A23" s="13" t="s">
        <v>35</v>
      </c>
      <c r="B23" s="8">
        <v>30890254.72</v>
      </c>
      <c r="C23" s="8">
        <v>3235173</v>
      </c>
      <c r="D23" s="9">
        <v>1471688</v>
      </c>
      <c r="E23" s="9">
        <v>696329</v>
      </c>
      <c r="F23" s="9">
        <v>154348</v>
      </c>
      <c r="G23" s="9">
        <v>1970830</v>
      </c>
      <c r="H23" s="10">
        <f t="shared" si="6"/>
        <v>4293195</v>
      </c>
      <c r="I23" s="11">
        <v>2217300</v>
      </c>
      <c r="J23" s="11">
        <v>1110576</v>
      </c>
      <c r="K23" s="11">
        <v>967872</v>
      </c>
      <c r="L23" s="11">
        <v>3010001</v>
      </c>
      <c r="M23" s="10">
        <f t="shared" si="0"/>
        <v>7305749</v>
      </c>
      <c r="N23" s="11">
        <v>2560711</v>
      </c>
      <c r="O23" s="11">
        <v>0</v>
      </c>
      <c r="P23" s="11">
        <v>0</v>
      </c>
      <c r="Q23" s="11">
        <v>0</v>
      </c>
      <c r="R23" s="10">
        <f t="shared" si="2"/>
        <v>2560711</v>
      </c>
      <c r="S23" s="5">
        <f t="shared" si="1"/>
        <v>1.073868435229271</v>
      </c>
      <c r="T23" s="12">
        <f t="shared" si="3"/>
        <v>107.3868435229271</v>
      </c>
      <c r="U23" s="14">
        <v>100</v>
      </c>
      <c r="W23" s="5">
        <f t="shared" si="4"/>
        <v>0.8428099277907153</v>
      </c>
      <c r="X23" s="12">
        <f t="shared" si="5"/>
        <v>84.28099277907152</v>
      </c>
      <c r="Y23" s="12">
        <f t="shared" si="8"/>
        <v>84.28099277907152</v>
      </c>
    </row>
    <row r="24" spans="1:25" ht="10.5">
      <c r="A24" s="13" t="s">
        <v>36</v>
      </c>
      <c r="B24" s="8">
        <v>4310822</v>
      </c>
      <c r="C24" s="8">
        <v>632022</v>
      </c>
      <c r="D24" s="9">
        <v>452000</v>
      </c>
      <c r="E24" s="9">
        <v>500</v>
      </c>
      <c r="F24" s="9">
        <v>343380</v>
      </c>
      <c r="G24" s="9">
        <v>0</v>
      </c>
      <c r="H24" s="10">
        <f t="shared" si="6"/>
        <v>795880</v>
      </c>
      <c r="I24" s="11">
        <v>88121</v>
      </c>
      <c r="J24" s="11">
        <v>2500</v>
      </c>
      <c r="K24" s="11">
        <v>520000</v>
      </c>
      <c r="L24" s="11">
        <v>430000</v>
      </c>
      <c r="M24" s="10">
        <f t="shared" si="0"/>
        <v>1040621</v>
      </c>
      <c r="N24" s="11">
        <v>400000</v>
      </c>
      <c r="O24" s="11">
        <v>0</v>
      </c>
      <c r="P24" s="11">
        <v>0</v>
      </c>
      <c r="Q24" s="11">
        <v>0</v>
      </c>
      <c r="R24" s="10">
        <f t="shared" si="2"/>
        <v>400000</v>
      </c>
      <c r="S24" s="5">
        <f t="shared" si="1"/>
        <v>1.2575409051916318</v>
      </c>
      <c r="T24" s="12">
        <f t="shared" si="3"/>
        <v>125.75409051916317</v>
      </c>
      <c r="U24" s="14">
        <v>100</v>
      </c>
      <c r="W24" s="5">
        <f t="shared" si="4"/>
        <v>0.9524443597995927</v>
      </c>
      <c r="X24" s="12">
        <f t="shared" si="5"/>
        <v>95.24443597995928</v>
      </c>
      <c r="Y24" s="12">
        <f t="shared" si="8"/>
        <v>95.24443597995928</v>
      </c>
    </row>
    <row r="25" spans="1:25" ht="10.5">
      <c r="A25" s="13" t="s">
        <v>37</v>
      </c>
      <c r="B25" s="8">
        <v>14057524.8</v>
      </c>
      <c r="C25" s="8">
        <v>1243231</v>
      </c>
      <c r="D25" s="9">
        <v>1128000</v>
      </c>
      <c r="E25" s="9">
        <v>0</v>
      </c>
      <c r="F25" s="9">
        <v>43150</v>
      </c>
      <c r="G25" s="9">
        <v>2863688</v>
      </c>
      <c r="H25" s="10">
        <f t="shared" si="6"/>
        <v>4034838</v>
      </c>
      <c r="I25" s="11">
        <v>3</v>
      </c>
      <c r="J25" s="11">
        <v>2600825</v>
      </c>
      <c r="K25" s="11">
        <v>1450890</v>
      </c>
      <c r="L25" s="11">
        <v>40560</v>
      </c>
      <c r="M25" s="10">
        <f t="shared" si="0"/>
        <v>4092278</v>
      </c>
      <c r="N25" s="11">
        <v>0</v>
      </c>
      <c r="O25" s="11">
        <v>0</v>
      </c>
      <c r="P25" s="11">
        <v>0</v>
      </c>
      <c r="Q25" s="11">
        <v>0</v>
      </c>
      <c r="R25" s="10">
        <f t="shared" si="2"/>
        <v>0</v>
      </c>
      <c r="S25" s="5">
        <f t="shared" si="1"/>
        <v>1.2889238153789349</v>
      </c>
      <c r="T25" s="12">
        <f t="shared" si="3"/>
        <v>128.8923815378935</v>
      </c>
      <c r="U25" s="14">
        <v>100</v>
      </c>
      <c r="W25" s="5">
        <f t="shared" si="4"/>
        <v>1.0130627583883047</v>
      </c>
      <c r="X25" s="12">
        <f t="shared" si="5"/>
        <v>101.30627583883047</v>
      </c>
      <c r="Y25" s="12">
        <f t="shared" si="8"/>
        <v>101.30627583883047</v>
      </c>
    </row>
    <row r="26" spans="1:25" ht="10.5">
      <c r="A26" s="7" t="s">
        <v>38</v>
      </c>
      <c r="B26" s="8">
        <v>15036660</v>
      </c>
      <c r="C26" s="8">
        <v>378494</v>
      </c>
      <c r="D26" s="9">
        <v>630806</v>
      </c>
      <c r="E26" s="9">
        <v>875800</v>
      </c>
      <c r="F26" s="9">
        <v>3756</v>
      </c>
      <c r="G26" s="9">
        <v>320000</v>
      </c>
      <c r="H26" s="10">
        <f t="shared" si="6"/>
        <v>1830362</v>
      </c>
      <c r="I26" s="11">
        <v>860000</v>
      </c>
      <c r="J26" s="11">
        <v>0</v>
      </c>
      <c r="K26" s="11">
        <v>50000</v>
      </c>
      <c r="L26" s="11">
        <v>0</v>
      </c>
      <c r="M26" s="10">
        <f t="shared" si="0"/>
        <v>910000</v>
      </c>
      <c r="N26" s="11">
        <v>31300</v>
      </c>
      <c r="O26" s="11">
        <v>0</v>
      </c>
      <c r="P26" s="11">
        <v>0</v>
      </c>
      <c r="Q26" s="11">
        <v>0</v>
      </c>
      <c r="R26" s="10">
        <f t="shared" si="2"/>
        <v>31300</v>
      </c>
      <c r="S26" s="5">
        <f t="shared" si="1"/>
        <v>0.40641106469122795</v>
      </c>
      <c r="T26" s="12">
        <f t="shared" si="3"/>
        <v>40.641106469122796</v>
      </c>
      <c r="U26" s="12">
        <f t="shared" si="7"/>
        <v>40.641106469122796</v>
      </c>
      <c r="W26" s="5">
        <f t="shared" si="4"/>
        <v>0.2899286211166575</v>
      </c>
      <c r="X26" s="12">
        <f t="shared" si="5"/>
        <v>28.99286211166575</v>
      </c>
      <c r="Y26" s="12">
        <f t="shared" si="8"/>
        <v>28.99286211166575</v>
      </c>
    </row>
    <row r="27" spans="1:25" ht="10.5">
      <c r="A27" s="7" t="s">
        <v>39</v>
      </c>
      <c r="B27" s="8">
        <v>13506230</v>
      </c>
      <c r="C27" s="8">
        <v>1210722</v>
      </c>
      <c r="D27" s="9">
        <v>0</v>
      </c>
      <c r="E27" s="9">
        <v>947239</v>
      </c>
      <c r="F27" s="9">
        <v>5750</v>
      </c>
      <c r="G27" s="9">
        <v>0</v>
      </c>
      <c r="H27" s="10">
        <f t="shared" si="6"/>
        <v>952989</v>
      </c>
      <c r="I27" s="11">
        <v>10000</v>
      </c>
      <c r="J27" s="11">
        <v>279300</v>
      </c>
      <c r="K27" s="11">
        <v>570000</v>
      </c>
      <c r="L27" s="11">
        <v>1552700</v>
      </c>
      <c r="M27" s="10">
        <f t="shared" si="0"/>
        <v>2412000</v>
      </c>
      <c r="N27" s="11">
        <v>758300</v>
      </c>
      <c r="O27" s="11">
        <v>0</v>
      </c>
      <c r="P27" s="11">
        <v>0</v>
      </c>
      <c r="Q27" s="11">
        <v>0</v>
      </c>
      <c r="R27" s="10">
        <f t="shared" si="2"/>
        <v>758300</v>
      </c>
      <c r="S27" s="5">
        <f t="shared" si="1"/>
        <v>0.7450384748371678</v>
      </c>
      <c r="T27" s="12">
        <f t="shared" si="3"/>
        <v>74.50384748371678</v>
      </c>
      <c r="U27" s="12">
        <f t="shared" si="7"/>
        <v>74.50384748371678</v>
      </c>
      <c r="W27" s="5">
        <f t="shared" si="4"/>
        <v>0.6118491910770067</v>
      </c>
      <c r="X27" s="12">
        <f t="shared" si="5"/>
        <v>61.18491910770067</v>
      </c>
      <c r="Y27" s="12">
        <f t="shared" si="8"/>
        <v>61.18491910770067</v>
      </c>
    </row>
    <row r="28" spans="1:25" ht="10.5">
      <c r="A28" s="7" t="s">
        <v>40</v>
      </c>
      <c r="B28" s="8">
        <v>2353941.0999999996</v>
      </c>
      <c r="C28" s="8">
        <v>30153</v>
      </c>
      <c r="D28" s="9">
        <v>0</v>
      </c>
      <c r="E28" s="9">
        <v>400000</v>
      </c>
      <c r="F28" s="9">
        <v>0</v>
      </c>
      <c r="G28" s="9">
        <v>0</v>
      </c>
      <c r="H28" s="10">
        <f t="shared" si="6"/>
        <v>400000</v>
      </c>
      <c r="I28" s="11">
        <v>0</v>
      </c>
      <c r="J28" s="11">
        <v>0</v>
      </c>
      <c r="K28" s="11">
        <v>0</v>
      </c>
      <c r="L28" s="11">
        <v>2200</v>
      </c>
      <c r="M28" s="10">
        <f t="shared" si="0"/>
        <v>2200</v>
      </c>
      <c r="N28" s="11">
        <v>0</v>
      </c>
      <c r="O28" s="11">
        <v>0</v>
      </c>
      <c r="P28" s="11">
        <v>0</v>
      </c>
      <c r="Q28" s="11">
        <v>0</v>
      </c>
      <c r="R28" s="10">
        <f t="shared" si="2"/>
        <v>0</v>
      </c>
      <c r="S28" s="5">
        <f t="shared" si="1"/>
        <v>0.36093915009173344</v>
      </c>
      <c r="T28" s="12">
        <f t="shared" si="3"/>
        <v>36.093915009173344</v>
      </c>
      <c r="U28" s="12">
        <f t="shared" si="7"/>
        <v>36.093915009173344</v>
      </c>
      <c r="W28" s="5">
        <f t="shared" si="4"/>
        <v>0.28321131314628056</v>
      </c>
      <c r="X28" s="12">
        <f t="shared" si="5"/>
        <v>28.321131314628055</v>
      </c>
      <c r="Y28" s="12">
        <f t="shared" si="8"/>
        <v>28.321131314628055</v>
      </c>
    </row>
    <row r="29" spans="1:25" ht="10.5">
      <c r="A29" s="7" t="s">
        <v>41</v>
      </c>
      <c r="B29" s="8">
        <v>20371158</v>
      </c>
      <c r="C29" s="8">
        <v>2484777</v>
      </c>
      <c r="D29" s="9">
        <v>479529</v>
      </c>
      <c r="E29" s="9">
        <v>849369</v>
      </c>
      <c r="F29" s="9">
        <v>830605</v>
      </c>
      <c r="G29" s="9">
        <v>14822</v>
      </c>
      <c r="H29" s="10">
        <f t="shared" si="6"/>
        <v>2174325</v>
      </c>
      <c r="I29" s="11">
        <v>246259</v>
      </c>
      <c r="J29" s="11">
        <v>6628</v>
      </c>
      <c r="K29" s="11">
        <v>159914</v>
      </c>
      <c r="L29" s="11">
        <v>2753770</v>
      </c>
      <c r="M29" s="10">
        <f t="shared" si="0"/>
        <v>3166571</v>
      </c>
      <c r="N29" s="11">
        <v>396676</v>
      </c>
      <c r="O29" s="11">
        <v>0</v>
      </c>
      <c r="P29" s="11">
        <v>0</v>
      </c>
      <c r="Q29" s="11">
        <v>0</v>
      </c>
      <c r="R29" s="10">
        <f t="shared" si="2"/>
        <v>396676</v>
      </c>
      <c r="S29" s="5">
        <f t="shared" si="1"/>
        <v>0.7462663389091577</v>
      </c>
      <c r="T29" s="12">
        <f t="shared" si="3"/>
        <v>74.62663389091577</v>
      </c>
      <c r="U29" s="12">
        <f t="shared" si="7"/>
        <v>74.62663389091577</v>
      </c>
      <c r="W29" s="5">
        <f t="shared" si="4"/>
        <v>0.5670790865202655</v>
      </c>
      <c r="X29" s="12">
        <f t="shared" si="5"/>
        <v>56.70790865202655</v>
      </c>
      <c r="Y29" s="12">
        <f t="shared" si="8"/>
        <v>56.70790865202655</v>
      </c>
    </row>
    <row r="30" spans="1:25" ht="10.5">
      <c r="A30" s="7" t="s">
        <v>42</v>
      </c>
      <c r="B30" s="8">
        <v>1553055.1199999999</v>
      </c>
      <c r="C30" s="8">
        <v>16500</v>
      </c>
      <c r="D30" s="9">
        <v>92000</v>
      </c>
      <c r="E30" s="9">
        <v>0</v>
      </c>
      <c r="F30" s="9">
        <v>30000</v>
      </c>
      <c r="G30" s="9">
        <v>12200</v>
      </c>
      <c r="H30" s="10">
        <f t="shared" si="6"/>
        <v>134200</v>
      </c>
      <c r="I30" s="11">
        <v>0</v>
      </c>
      <c r="J30" s="11">
        <v>88755</v>
      </c>
      <c r="K30" s="11">
        <v>33000</v>
      </c>
      <c r="L30" s="11">
        <v>87907</v>
      </c>
      <c r="M30" s="10">
        <f t="shared" si="0"/>
        <v>209662</v>
      </c>
      <c r="N30" s="11">
        <v>19300</v>
      </c>
      <c r="O30" s="11">
        <v>0</v>
      </c>
      <c r="P30" s="11">
        <v>0</v>
      </c>
      <c r="Q30" s="11">
        <v>0</v>
      </c>
      <c r="R30" s="10">
        <f t="shared" si="2"/>
        <v>19300</v>
      </c>
      <c r="S30" s="5">
        <f t="shared" si="1"/>
        <v>0.48361065253112206</v>
      </c>
      <c r="T30" s="12">
        <f t="shared" si="3"/>
        <v>48.36106525311221</v>
      </c>
      <c r="U30" s="12">
        <f t="shared" si="7"/>
        <v>48.36106525311221</v>
      </c>
      <c r="W30" s="5">
        <f t="shared" si="4"/>
        <v>0.3819472164001495</v>
      </c>
      <c r="X30" s="12">
        <f t="shared" si="5"/>
        <v>38.19472164001495</v>
      </c>
      <c r="Y30" s="12">
        <f t="shared" si="8"/>
        <v>38.19472164001495</v>
      </c>
    </row>
    <row r="31" spans="1:25" ht="10.5">
      <c r="A31" s="7" t="s">
        <v>43</v>
      </c>
      <c r="B31" s="8">
        <v>15791140</v>
      </c>
      <c r="C31" s="8">
        <v>2467390</v>
      </c>
      <c r="D31" s="9">
        <v>770000</v>
      </c>
      <c r="E31" s="9">
        <v>244100</v>
      </c>
      <c r="F31" s="9">
        <v>25000</v>
      </c>
      <c r="G31" s="9">
        <v>74400</v>
      </c>
      <c r="H31" s="10">
        <f t="shared" si="6"/>
        <v>1113500</v>
      </c>
      <c r="I31" s="11">
        <v>0</v>
      </c>
      <c r="J31" s="11">
        <v>170850</v>
      </c>
      <c r="K31" s="11">
        <v>326000</v>
      </c>
      <c r="L31" s="11">
        <v>50050</v>
      </c>
      <c r="M31" s="10">
        <f t="shared" si="0"/>
        <v>546900</v>
      </c>
      <c r="N31" s="11">
        <v>231500</v>
      </c>
      <c r="O31" s="11">
        <v>0</v>
      </c>
      <c r="P31" s="11">
        <v>0</v>
      </c>
      <c r="Q31" s="11">
        <v>0</v>
      </c>
      <c r="R31" s="10">
        <f t="shared" si="2"/>
        <v>231500</v>
      </c>
      <c r="S31" s="5">
        <f t="shared" si="1"/>
        <v>0.4739926946376259</v>
      </c>
      <c r="T31" s="12">
        <f t="shared" si="3"/>
        <v>47.399269463762586</v>
      </c>
      <c r="U31" s="12">
        <f t="shared" si="7"/>
        <v>47.399269463762586</v>
      </c>
      <c r="W31" s="5">
        <f t="shared" si="4"/>
        <v>0.291454480170526</v>
      </c>
      <c r="X31" s="12">
        <f t="shared" si="5"/>
        <v>29.1454480170526</v>
      </c>
      <c r="Y31" s="12">
        <f t="shared" si="8"/>
        <v>29.1454480170526</v>
      </c>
    </row>
    <row r="32" spans="1:25" ht="10.5">
      <c r="A32" s="7" t="s">
        <v>44</v>
      </c>
      <c r="B32" s="8">
        <v>153153740</v>
      </c>
      <c r="C32" s="8">
        <v>15310222</v>
      </c>
      <c r="D32" s="9">
        <v>2587250</v>
      </c>
      <c r="E32" s="9">
        <v>976350</v>
      </c>
      <c r="F32" s="9">
        <v>11291856</v>
      </c>
      <c r="G32" s="9">
        <v>4958521</v>
      </c>
      <c r="H32" s="10">
        <f t="shared" si="6"/>
        <v>19813977</v>
      </c>
      <c r="I32" s="11">
        <v>7205354</v>
      </c>
      <c r="J32" s="11">
        <v>21833710</v>
      </c>
      <c r="K32" s="11">
        <v>147171</v>
      </c>
      <c r="L32" s="11">
        <v>722051</v>
      </c>
      <c r="M32" s="10">
        <f t="shared" si="0"/>
        <v>29908286</v>
      </c>
      <c r="N32" s="11">
        <v>1006074</v>
      </c>
      <c r="O32" s="11">
        <v>0</v>
      </c>
      <c r="P32" s="11">
        <v>0</v>
      </c>
      <c r="Q32" s="11">
        <v>0</v>
      </c>
      <c r="R32" s="10">
        <f t="shared" si="2"/>
        <v>1006074</v>
      </c>
      <c r="S32" s="5">
        <f t="shared" si="1"/>
        <v>0.8123994033707568</v>
      </c>
      <c r="T32" s="12">
        <f t="shared" si="3"/>
        <v>81.23994033707568</v>
      </c>
      <c r="U32" s="12">
        <f t="shared" si="7"/>
        <v>81.23994033707568</v>
      </c>
      <c r="W32" s="5">
        <f t="shared" si="4"/>
        <v>0.6319520315990977</v>
      </c>
      <c r="X32" s="12">
        <f t="shared" si="5"/>
        <v>63.195203159909774</v>
      </c>
      <c r="Y32" s="12">
        <f t="shared" si="8"/>
        <v>63.195203159909774</v>
      </c>
    </row>
    <row r="33" spans="1:25" ht="10.5">
      <c r="A33" s="13" t="s">
        <v>45</v>
      </c>
      <c r="B33" s="8">
        <v>10601180</v>
      </c>
      <c r="C33" s="8">
        <v>43346</v>
      </c>
      <c r="D33" s="9">
        <v>8500</v>
      </c>
      <c r="E33" s="9">
        <v>0</v>
      </c>
      <c r="F33" s="9">
        <v>80000</v>
      </c>
      <c r="G33" s="9">
        <v>1124378</v>
      </c>
      <c r="H33" s="10">
        <f t="shared" si="6"/>
        <v>1212878</v>
      </c>
      <c r="I33" s="11">
        <v>2499719</v>
      </c>
      <c r="J33" s="11">
        <v>0</v>
      </c>
      <c r="K33" s="11">
        <v>2050000</v>
      </c>
      <c r="L33" s="11">
        <v>604737</v>
      </c>
      <c r="M33" s="10">
        <f t="shared" si="0"/>
        <v>5154456</v>
      </c>
      <c r="N33" s="11">
        <v>0</v>
      </c>
      <c r="O33" s="11">
        <v>0</v>
      </c>
      <c r="P33" s="11">
        <v>0</v>
      </c>
      <c r="Q33" s="11">
        <v>0</v>
      </c>
      <c r="R33" s="10">
        <f t="shared" si="2"/>
        <v>0</v>
      </c>
      <c r="S33" s="5">
        <f t="shared" si="1"/>
        <v>1.207383234696515</v>
      </c>
      <c r="T33" s="12">
        <f t="shared" si="3"/>
        <v>120.7383234696515</v>
      </c>
      <c r="U33" s="14">
        <v>100</v>
      </c>
      <c r="W33" s="5">
        <f t="shared" si="4"/>
        <v>1.023686116073871</v>
      </c>
      <c r="X33" s="12">
        <f t="shared" si="5"/>
        <v>102.36861160738711</v>
      </c>
      <c r="Y33" s="12">
        <f t="shared" si="8"/>
        <v>102.36861160738711</v>
      </c>
    </row>
    <row r="34" spans="1:25" ht="10.5">
      <c r="A34" s="13" t="s">
        <v>46</v>
      </c>
      <c r="B34" s="8">
        <v>13310970</v>
      </c>
      <c r="C34" s="8">
        <v>1103037</v>
      </c>
      <c r="D34" s="9">
        <v>770859</v>
      </c>
      <c r="E34" s="9">
        <v>2206867</v>
      </c>
      <c r="F34" s="9">
        <v>392847</v>
      </c>
      <c r="G34" s="9">
        <v>1327250</v>
      </c>
      <c r="H34" s="10">
        <f t="shared" si="6"/>
        <v>4697823</v>
      </c>
      <c r="I34" s="11">
        <v>26700</v>
      </c>
      <c r="J34" s="11">
        <v>0</v>
      </c>
      <c r="K34" s="11">
        <v>1080749</v>
      </c>
      <c r="L34" s="11">
        <v>1715300</v>
      </c>
      <c r="M34" s="10">
        <f t="shared" si="0"/>
        <v>2822749</v>
      </c>
      <c r="N34" s="11">
        <v>600</v>
      </c>
      <c r="O34" s="11">
        <v>0</v>
      </c>
      <c r="P34" s="11">
        <v>0</v>
      </c>
      <c r="Q34" s="11">
        <v>0</v>
      </c>
      <c r="R34" s="10">
        <f t="shared" si="2"/>
        <v>600</v>
      </c>
      <c r="S34" s="5">
        <f t="shared" si="1"/>
        <v>1.2543713568582906</v>
      </c>
      <c r="T34" s="12">
        <f t="shared" si="3"/>
        <v>125.43713568582906</v>
      </c>
      <c r="U34" s="14">
        <v>100</v>
      </c>
      <c r="W34" s="5">
        <f t="shared" si="4"/>
        <v>0.9818843637991822</v>
      </c>
      <c r="X34" s="12">
        <f t="shared" si="5"/>
        <v>98.18843637991822</v>
      </c>
      <c r="Y34" s="12">
        <f t="shared" si="8"/>
        <v>98.18843637991822</v>
      </c>
    </row>
    <row r="35" spans="1:25" ht="10.5">
      <c r="A35" s="13" t="s">
        <v>47</v>
      </c>
      <c r="B35" s="8">
        <v>6185248</v>
      </c>
      <c r="C35" s="8">
        <v>638126</v>
      </c>
      <c r="D35" s="9">
        <v>214275</v>
      </c>
      <c r="E35" s="9">
        <v>144000</v>
      </c>
      <c r="F35" s="9">
        <v>0</v>
      </c>
      <c r="G35" s="9">
        <v>35870</v>
      </c>
      <c r="H35" s="10">
        <f t="shared" si="6"/>
        <v>394145</v>
      </c>
      <c r="I35" s="11">
        <v>144853</v>
      </c>
      <c r="J35" s="11">
        <v>16500</v>
      </c>
      <c r="K35" s="11">
        <v>3093929</v>
      </c>
      <c r="L35" s="11">
        <v>141300</v>
      </c>
      <c r="M35" s="10">
        <f t="shared" si="0"/>
        <v>3396582</v>
      </c>
      <c r="N35" s="11">
        <v>0</v>
      </c>
      <c r="O35" s="11">
        <v>0</v>
      </c>
      <c r="P35" s="11">
        <v>0</v>
      </c>
      <c r="Q35" s="11">
        <v>0</v>
      </c>
      <c r="R35" s="10">
        <f t="shared" si="2"/>
        <v>0</v>
      </c>
      <c r="S35" s="5">
        <f t="shared" si="1"/>
        <v>1.3804851478873603</v>
      </c>
      <c r="T35" s="12">
        <f t="shared" si="3"/>
        <v>138.04851478873604</v>
      </c>
      <c r="U35" s="14">
        <v>100</v>
      </c>
      <c r="W35" s="5">
        <f t="shared" si="4"/>
        <v>1.163349902865657</v>
      </c>
      <c r="X35" s="12">
        <f t="shared" si="5"/>
        <v>116.33499028656571</v>
      </c>
      <c r="Y35" s="14">
        <v>100</v>
      </c>
    </row>
    <row r="36" spans="1:25" ht="10.5">
      <c r="A36" s="7" t="s">
        <v>48</v>
      </c>
      <c r="B36" s="8">
        <v>8348101.5200000005</v>
      </c>
      <c r="C36" s="8">
        <v>415099</v>
      </c>
      <c r="D36" s="9">
        <v>300000</v>
      </c>
      <c r="E36" s="9">
        <v>0</v>
      </c>
      <c r="F36" s="9">
        <v>0</v>
      </c>
      <c r="G36" s="9">
        <v>0</v>
      </c>
      <c r="H36" s="10">
        <f t="shared" si="6"/>
        <v>300000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0"/>
        <v>0</v>
      </c>
      <c r="N36" s="11">
        <v>0</v>
      </c>
      <c r="O36" s="11">
        <v>0</v>
      </c>
      <c r="P36" s="11">
        <v>0</v>
      </c>
      <c r="Q36" s="11">
        <v>0</v>
      </c>
      <c r="R36" s="10">
        <f t="shared" si="2"/>
        <v>0</v>
      </c>
      <c r="S36" s="5">
        <f t="shared" si="1"/>
        <v>0.14645826923293093</v>
      </c>
      <c r="T36" s="12">
        <f t="shared" si="3"/>
        <v>14.645826923293093</v>
      </c>
      <c r="U36" s="12">
        <f t="shared" si="7"/>
        <v>14.645826923293093</v>
      </c>
      <c r="W36" s="5">
        <f t="shared" si="4"/>
        <v>0.07322913461646546</v>
      </c>
      <c r="X36" s="12">
        <f t="shared" si="5"/>
        <v>7.3229134616465466</v>
      </c>
      <c r="Y36" s="12">
        <f t="shared" si="8"/>
        <v>7.3229134616465466</v>
      </c>
    </row>
    <row r="37" spans="1:25" ht="10.5">
      <c r="A37" s="7" t="s">
        <v>49</v>
      </c>
      <c r="B37" s="8">
        <v>3813650</v>
      </c>
      <c r="C37" s="8">
        <v>22920</v>
      </c>
      <c r="D37" s="9">
        <v>42485</v>
      </c>
      <c r="E37" s="9">
        <v>0</v>
      </c>
      <c r="F37" s="9">
        <v>2400</v>
      </c>
      <c r="G37" s="9">
        <v>0</v>
      </c>
      <c r="H37" s="10">
        <f t="shared" si="6"/>
        <v>44885</v>
      </c>
      <c r="I37" s="11">
        <v>9750</v>
      </c>
      <c r="J37" s="11">
        <v>0</v>
      </c>
      <c r="K37" s="11">
        <v>5200</v>
      </c>
      <c r="L37" s="11">
        <v>7173</v>
      </c>
      <c r="M37" s="10">
        <f t="shared" si="0"/>
        <v>22123</v>
      </c>
      <c r="N37" s="11">
        <v>6000</v>
      </c>
      <c r="O37" s="11">
        <v>0</v>
      </c>
      <c r="P37" s="11">
        <v>0</v>
      </c>
      <c r="Q37" s="11">
        <v>0</v>
      </c>
      <c r="R37" s="10">
        <f t="shared" si="2"/>
        <v>6000</v>
      </c>
      <c r="S37" s="5">
        <f t="shared" si="1"/>
        <v>0.04730271524654858</v>
      </c>
      <c r="T37" s="12">
        <f t="shared" si="3"/>
        <v>4.730271524654858</v>
      </c>
      <c r="U37" s="12">
        <f t="shared" si="7"/>
        <v>4.730271524654858</v>
      </c>
      <c r="W37" s="5">
        <f t="shared" si="4"/>
        <v>0.02960977541200687</v>
      </c>
      <c r="X37" s="12">
        <f t="shared" si="5"/>
        <v>2.960977541200687</v>
      </c>
      <c r="Y37" s="12">
        <f t="shared" si="8"/>
        <v>2.960977541200687</v>
      </c>
    </row>
    <row r="38" spans="1:25" ht="10.5">
      <c r="A38" s="7" t="s">
        <v>50</v>
      </c>
      <c r="B38" s="8">
        <v>165397</v>
      </c>
      <c r="C38" s="8">
        <v>24000</v>
      </c>
      <c r="D38" s="9">
        <v>0</v>
      </c>
      <c r="E38" s="9">
        <v>9000</v>
      </c>
      <c r="F38" s="9">
        <v>0</v>
      </c>
      <c r="G38" s="9">
        <v>0</v>
      </c>
      <c r="H38" s="10">
        <f t="shared" si="6"/>
        <v>9000</v>
      </c>
      <c r="I38" s="11">
        <v>30126</v>
      </c>
      <c r="J38" s="11">
        <v>0</v>
      </c>
      <c r="K38" s="11">
        <v>0</v>
      </c>
      <c r="L38" s="11">
        <v>0</v>
      </c>
      <c r="M38" s="10">
        <f t="shared" si="0"/>
        <v>30126</v>
      </c>
      <c r="N38" s="11">
        <v>0</v>
      </c>
      <c r="O38" s="11">
        <v>0</v>
      </c>
      <c r="P38" s="11">
        <v>0</v>
      </c>
      <c r="Q38" s="11">
        <v>0</v>
      </c>
      <c r="R38" s="10">
        <f t="shared" si="2"/>
        <v>0</v>
      </c>
      <c r="S38" s="5">
        <f t="shared" si="1"/>
        <v>0.6907743187603161</v>
      </c>
      <c r="T38" s="12">
        <f t="shared" si="3"/>
        <v>69.07743187603161</v>
      </c>
      <c r="U38" s="12">
        <f t="shared" si="7"/>
        <v>69.07743187603161</v>
      </c>
      <c r="W38" s="5">
        <f t="shared" si="4"/>
        <v>0.48732201914182244</v>
      </c>
      <c r="X38" s="12">
        <f t="shared" si="5"/>
        <v>48.73220191418224</v>
      </c>
      <c r="Y38" s="12">
        <f t="shared" si="8"/>
        <v>48.73220191418224</v>
      </c>
    </row>
    <row r="39" spans="1:25" ht="10.5">
      <c r="A39" s="7" t="s">
        <v>51</v>
      </c>
      <c r="B39" s="15">
        <v>31082266</v>
      </c>
      <c r="C39" s="8">
        <v>1006288</v>
      </c>
      <c r="D39" s="9">
        <v>1480250</v>
      </c>
      <c r="E39" s="9">
        <v>900000</v>
      </c>
      <c r="F39" s="9">
        <v>1178330</v>
      </c>
      <c r="G39" s="9">
        <v>363350</v>
      </c>
      <c r="H39" s="10">
        <f t="shared" si="6"/>
        <v>3921930</v>
      </c>
      <c r="I39" s="11">
        <v>0</v>
      </c>
      <c r="J39" s="11">
        <v>0</v>
      </c>
      <c r="K39" s="11">
        <v>1271601</v>
      </c>
      <c r="L39" s="11">
        <v>163500</v>
      </c>
      <c r="M39" s="10">
        <f t="shared" si="0"/>
        <v>1435101</v>
      </c>
      <c r="N39" s="11">
        <v>57800</v>
      </c>
      <c r="O39" s="11">
        <v>0</v>
      </c>
      <c r="P39" s="11">
        <v>0</v>
      </c>
      <c r="Q39" s="11">
        <v>0</v>
      </c>
      <c r="R39" s="10">
        <f t="shared" si="2"/>
        <v>57800</v>
      </c>
      <c r="S39" s="5">
        <f t="shared" si="1"/>
        <v>0.39698180306416525</v>
      </c>
      <c r="T39" s="12">
        <f t="shared" si="3"/>
        <v>39.698180306416525</v>
      </c>
      <c r="U39" s="12">
        <f t="shared" si="7"/>
        <v>39.698180306416525</v>
      </c>
      <c r="W39" s="5">
        <f t="shared" si="4"/>
        <v>0.28596987877267377</v>
      </c>
      <c r="X39" s="12">
        <f t="shared" si="5"/>
        <v>28.596987877267377</v>
      </c>
      <c r="Y39" s="12">
        <f t="shared" si="8"/>
        <v>28.596987877267377</v>
      </c>
    </row>
    <row r="40" spans="1:25" ht="10.5">
      <c r="A40" s="13" t="s">
        <v>52</v>
      </c>
      <c r="B40" s="8">
        <v>10041133</v>
      </c>
      <c r="C40" s="8">
        <v>1509431</v>
      </c>
      <c r="D40" s="9">
        <v>3200000</v>
      </c>
      <c r="E40" s="9">
        <v>2065000</v>
      </c>
      <c r="F40" s="9">
        <v>420650</v>
      </c>
      <c r="G40" s="9">
        <v>20200</v>
      </c>
      <c r="H40" s="10">
        <f t="shared" si="6"/>
        <v>5705850</v>
      </c>
      <c r="I40" s="11">
        <v>0</v>
      </c>
      <c r="J40" s="11">
        <v>0</v>
      </c>
      <c r="K40" s="11">
        <v>0</v>
      </c>
      <c r="L40" s="11">
        <v>0</v>
      </c>
      <c r="M40" s="10">
        <f t="shared" si="0"/>
        <v>0</v>
      </c>
      <c r="N40" s="11">
        <v>23350</v>
      </c>
      <c r="O40" s="11">
        <v>0</v>
      </c>
      <c r="P40" s="11">
        <v>0</v>
      </c>
      <c r="Q40" s="11">
        <v>0</v>
      </c>
      <c r="R40" s="10">
        <f t="shared" si="2"/>
        <v>23350</v>
      </c>
      <c r="S40" s="5">
        <f t="shared" si="1"/>
        <v>1.366633277340316</v>
      </c>
      <c r="T40" s="12">
        <f t="shared" si="3"/>
        <v>136.6633277340316</v>
      </c>
      <c r="U40" s="14">
        <v>100</v>
      </c>
      <c r="W40" s="5">
        <f t="shared" si="4"/>
        <v>0.8350050985282239</v>
      </c>
      <c r="X40" s="12">
        <f t="shared" si="5"/>
        <v>83.50050985282239</v>
      </c>
      <c r="Y40" s="12">
        <f t="shared" si="8"/>
        <v>83.50050985282239</v>
      </c>
    </row>
    <row r="41" spans="1:25" ht="10.5">
      <c r="A41" s="7" t="s">
        <v>53</v>
      </c>
      <c r="B41" s="8">
        <v>417763.8</v>
      </c>
      <c r="C41" s="8">
        <v>20000</v>
      </c>
      <c r="D41" s="9">
        <v>0</v>
      </c>
      <c r="E41" s="9">
        <v>0</v>
      </c>
      <c r="F41" s="9">
        <v>0</v>
      </c>
      <c r="G41" s="9">
        <v>91725</v>
      </c>
      <c r="H41" s="10">
        <f t="shared" si="6"/>
        <v>91725</v>
      </c>
      <c r="I41" s="11">
        <v>0</v>
      </c>
      <c r="J41" s="11">
        <v>0</v>
      </c>
      <c r="K41" s="11">
        <v>91725</v>
      </c>
      <c r="L41" s="11">
        <v>0</v>
      </c>
      <c r="M41" s="10">
        <f t="shared" si="0"/>
        <v>91725</v>
      </c>
      <c r="N41" s="11">
        <v>0</v>
      </c>
      <c r="O41" s="11">
        <v>0</v>
      </c>
      <c r="P41" s="11">
        <v>0</v>
      </c>
      <c r="Q41" s="11">
        <v>0</v>
      </c>
      <c r="R41" s="10">
        <f t="shared" si="2"/>
        <v>0</v>
      </c>
      <c r="S41" s="5">
        <f t="shared" si="1"/>
        <v>0.9500583822724707</v>
      </c>
      <c r="T41" s="12">
        <f t="shared" si="3"/>
        <v>95.00583822724707</v>
      </c>
      <c r="U41" s="12">
        <f t="shared" si="7"/>
        <v>95.00583822724707</v>
      </c>
      <c r="W41" s="5">
        <f t="shared" si="4"/>
        <v>0.7911982799850059</v>
      </c>
      <c r="X41" s="12">
        <f t="shared" si="5"/>
        <v>79.1198279985006</v>
      </c>
      <c r="Y41" s="12">
        <f t="shared" si="8"/>
        <v>79.1198279985006</v>
      </c>
    </row>
    <row r="42" spans="1:25" ht="10.5">
      <c r="A42" s="13" t="s">
        <v>54</v>
      </c>
      <c r="B42" s="8">
        <v>43541648</v>
      </c>
      <c r="C42" s="8">
        <v>1021387</v>
      </c>
      <c r="D42" s="9">
        <v>10000</v>
      </c>
      <c r="E42" s="9">
        <v>2459000</v>
      </c>
      <c r="F42" s="9">
        <v>2415426</v>
      </c>
      <c r="G42" s="9">
        <v>2693798</v>
      </c>
      <c r="H42" s="10">
        <f t="shared" si="6"/>
        <v>7578224</v>
      </c>
      <c r="I42" s="11">
        <v>954169</v>
      </c>
      <c r="J42" s="11">
        <v>166025</v>
      </c>
      <c r="K42" s="11">
        <v>2567960</v>
      </c>
      <c r="L42" s="11">
        <v>5304860</v>
      </c>
      <c r="M42" s="10">
        <f t="shared" si="0"/>
        <v>8993014</v>
      </c>
      <c r="N42" s="11">
        <v>6258100</v>
      </c>
      <c r="O42" s="11">
        <v>0</v>
      </c>
      <c r="P42" s="11">
        <v>0</v>
      </c>
      <c r="Q42" s="11">
        <v>0</v>
      </c>
      <c r="R42" s="10">
        <f t="shared" si="2"/>
        <v>6258100</v>
      </c>
      <c r="S42" s="5">
        <f t="shared" si="1"/>
        <v>1.0838073124839005</v>
      </c>
      <c r="T42" s="12">
        <f t="shared" si="3"/>
        <v>108.38073124839005</v>
      </c>
      <c r="U42" s="14">
        <v>100</v>
      </c>
      <c r="W42" s="5">
        <f t="shared" si="4"/>
        <v>0.9351563323923798</v>
      </c>
      <c r="X42" s="12">
        <f t="shared" si="5"/>
        <v>93.51563323923799</v>
      </c>
      <c r="Y42" s="12">
        <f t="shared" si="8"/>
        <v>93.51563323923799</v>
      </c>
    </row>
    <row r="43" spans="1:25" ht="10.5">
      <c r="A43" s="13" t="s">
        <v>55</v>
      </c>
      <c r="B43" s="8">
        <v>7122217</v>
      </c>
      <c r="C43" s="8">
        <v>1618370</v>
      </c>
      <c r="D43" s="9">
        <v>12000</v>
      </c>
      <c r="E43" s="9">
        <v>31700</v>
      </c>
      <c r="F43" s="9">
        <v>30000</v>
      </c>
      <c r="G43" s="9">
        <v>55102</v>
      </c>
      <c r="H43" s="10">
        <f t="shared" si="6"/>
        <v>128802</v>
      </c>
      <c r="I43" s="11">
        <v>0</v>
      </c>
      <c r="J43" s="11">
        <v>15000</v>
      </c>
      <c r="K43" s="11">
        <v>204281</v>
      </c>
      <c r="L43" s="11">
        <v>1400</v>
      </c>
      <c r="M43" s="10">
        <f t="shared" si="0"/>
        <v>220681</v>
      </c>
      <c r="N43" s="11">
        <v>5358586</v>
      </c>
      <c r="O43" s="11">
        <v>0</v>
      </c>
      <c r="P43" s="11">
        <v>0</v>
      </c>
      <c r="Q43" s="11">
        <v>0</v>
      </c>
      <c r="R43" s="10">
        <f t="shared" si="2"/>
        <v>5358586</v>
      </c>
      <c r="S43" s="5">
        <f t="shared" si="1"/>
        <v>1.9437336716923959</v>
      </c>
      <c r="T43" s="12">
        <f t="shared" si="3"/>
        <v>194.3733671692396</v>
      </c>
      <c r="U43" s="14">
        <v>100</v>
      </c>
      <c r="W43" s="5">
        <f t="shared" si="4"/>
        <v>1.6397298734368808</v>
      </c>
      <c r="X43" s="12">
        <f t="shared" si="5"/>
        <v>163.9729873436881</v>
      </c>
      <c r="Y43" s="14">
        <v>100</v>
      </c>
    </row>
    <row r="44" spans="1:25" ht="10.5">
      <c r="A44" s="7" t="s">
        <v>56</v>
      </c>
      <c r="B44" s="8">
        <v>34039740</v>
      </c>
      <c r="C44" s="8">
        <v>1870846</v>
      </c>
      <c r="D44" s="9">
        <v>173235</v>
      </c>
      <c r="E44" s="9">
        <v>168747</v>
      </c>
      <c r="F44" s="9">
        <v>906100</v>
      </c>
      <c r="G44" s="9">
        <v>385220</v>
      </c>
      <c r="H44" s="10">
        <f t="shared" si="6"/>
        <v>1633302</v>
      </c>
      <c r="I44" s="11">
        <v>6336900</v>
      </c>
      <c r="J44" s="11">
        <v>1842187</v>
      </c>
      <c r="K44" s="11">
        <v>23000</v>
      </c>
      <c r="L44" s="11">
        <v>55077</v>
      </c>
      <c r="M44" s="10">
        <f t="shared" si="0"/>
        <v>8257164</v>
      </c>
      <c r="N44" s="11">
        <v>748026</v>
      </c>
      <c r="O44" s="11">
        <v>0</v>
      </c>
      <c r="P44" s="11">
        <v>0</v>
      </c>
      <c r="Q44" s="11">
        <v>0</v>
      </c>
      <c r="R44" s="10">
        <f t="shared" si="2"/>
        <v>748026</v>
      </c>
      <c r="S44" s="5">
        <f t="shared" si="1"/>
        <v>0.7075040232387204</v>
      </c>
      <c r="T44" s="12">
        <f t="shared" si="3"/>
        <v>70.75040232387204</v>
      </c>
      <c r="U44" s="12">
        <f t="shared" si="7"/>
        <v>70.75040232387204</v>
      </c>
      <c r="W44" s="5">
        <f t="shared" si="4"/>
        <v>0.5570304091629372</v>
      </c>
      <c r="X44" s="12">
        <f t="shared" si="5"/>
        <v>55.70304091629372</v>
      </c>
      <c r="Y44" s="12">
        <f t="shared" si="8"/>
        <v>55.70304091629372</v>
      </c>
    </row>
    <row r="45" spans="1:25" ht="10.5">
      <c r="A45" s="13" t="s">
        <v>57</v>
      </c>
      <c r="B45" s="8">
        <v>12625420</v>
      </c>
      <c r="C45" s="8">
        <v>671119</v>
      </c>
      <c r="D45" s="9">
        <v>331028</v>
      </c>
      <c r="E45" s="9">
        <v>873625</v>
      </c>
      <c r="F45" s="9">
        <v>474185</v>
      </c>
      <c r="G45" s="9">
        <v>209066</v>
      </c>
      <c r="H45" s="10">
        <f t="shared" si="6"/>
        <v>1887904</v>
      </c>
      <c r="I45" s="11">
        <v>405657</v>
      </c>
      <c r="J45" s="11">
        <v>213040</v>
      </c>
      <c r="K45" s="11">
        <v>526932</v>
      </c>
      <c r="L45" s="11">
        <v>3266369</v>
      </c>
      <c r="M45" s="10">
        <f t="shared" si="0"/>
        <v>4411998</v>
      </c>
      <c r="N45" s="11">
        <v>11499</v>
      </c>
      <c r="O45" s="11">
        <v>0</v>
      </c>
      <c r="P45" s="11">
        <v>0</v>
      </c>
      <c r="Q45" s="11">
        <v>0</v>
      </c>
      <c r="R45" s="10">
        <f t="shared" si="2"/>
        <v>11499</v>
      </c>
      <c r="S45" s="5">
        <f t="shared" si="1"/>
        <v>1.0795268989071254</v>
      </c>
      <c r="T45" s="12">
        <f t="shared" si="3"/>
        <v>107.95268989071253</v>
      </c>
      <c r="U45" s="14">
        <v>100</v>
      </c>
      <c r="W45" s="5">
        <f t="shared" si="4"/>
        <v>0.9003459409667164</v>
      </c>
      <c r="X45" s="12">
        <f t="shared" si="5"/>
        <v>90.03459409667164</v>
      </c>
      <c r="Y45" s="12">
        <f t="shared" si="8"/>
        <v>90.03459409667164</v>
      </c>
    </row>
    <row r="46" spans="1:25" ht="10.5">
      <c r="A46" s="7" t="s">
        <v>58</v>
      </c>
      <c r="B46" s="8">
        <v>4816143.5</v>
      </c>
      <c r="C46" s="8">
        <v>246742</v>
      </c>
      <c r="D46" s="9">
        <v>49813</v>
      </c>
      <c r="E46" s="9">
        <v>151000</v>
      </c>
      <c r="F46" s="9">
        <v>476000</v>
      </c>
      <c r="G46" s="9">
        <v>27533</v>
      </c>
      <c r="H46" s="10">
        <f t="shared" si="6"/>
        <v>704346</v>
      </c>
      <c r="I46" s="11">
        <v>0</v>
      </c>
      <c r="J46" s="11">
        <v>575345</v>
      </c>
      <c r="K46" s="11">
        <v>660000</v>
      </c>
      <c r="L46" s="11">
        <v>0</v>
      </c>
      <c r="M46" s="10">
        <f>SUM(I46:L46)</f>
        <v>1235345</v>
      </c>
      <c r="N46" s="11">
        <v>0</v>
      </c>
      <c r="O46" s="11">
        <v>0</v>
      </c>
      <c r="P46" s="11">
        <v>0</v>
      </c>
      <c r="Q46" s="11">
        <v>0</v>
      </c>
      <c r="R46" s="10">
        <f t="shared" si="2"/>
        <v>0</v>
      </c>
      <c r="S46" s="5">
        <f t="shared" si="1"/>
        <v>0.8823439334812179</v>
      </c>
      <c r="T46" s="12">
        <f t="shared" si="3"/>
        <v>88.23439334812178</v>
      </c>
      <c r="U46" s="12">
        <f t="shared" si="7"/>
        <v>88.23439334812178</v>
      </c>
      <c r="W46" s="5">
        <f t="shared" si="4"/>
        <v>0.7381750772168646</v>
      </c>
      <c r="X46" s="12">
        <f t="shared" si="5"/>
        <v>73.81750772168645</v>
      </c>
      <c r="Y46" s="12">
        <f t="shared" si="8"/>
        <v>73.81750772168645</v>
      </c>
    </row>
    <row r="47" spans="1:25" ht="12">
      <c r="A47" s="16" t="s">
        <v>59</v>
      </c>
      <c r="B47" s="17">
        <f>SUM(B2:B46)</f>
        <v>738933389.2804</v>
      </c>
      <c r="C47" s="18">
        <f>SUM(C2:C46)</f>
        <v>60151197</v>
      </c>
      <c r="D47" s="19">
        <f aca="true" t="shared" si="9" ref="D47:R47">SUM(D2:D46)</f>
        <v>17332636</v>
      </c>
      <c r="E47" s="19">
        <f t="shared" si="9"/>
        <v>24559748</v>
      </c>
      <c r="F47" s="19">
        <f t="shared" si="9"/>
        <v>25445502</v>
      </c>
      <c r="G47" s="19">
        <f t="shared" si="9"/>
        <v>21139051</v>
      </c>
      <c r="H47" s="19">
        <f t="shared" si="9"/>
        <v>88476937</v>
      </c>
      <c r="I47" s="19">
        <f t="shared" si="9"/>
        <v>33004140</v>
      </c>
      <c r="J47" s="19">
        <f t="shared" si="9"/>
        <v>36379106</v>
      </c>
      <c r="K47" s="19">
        <f t="shared" si="9"/>
        <v>37003591</v>
      </c>
      <c r="L47" s="19">
        <f t="shared" si="9"/>
        <v>38822966</v>
      </c>
      <c r="M47" s="19">
        <f t="shared" si="9"/>
        <v>145209803</v>
      </c>
      <c r="N47" s="19">
        <f t="shared" si="9"/>
        <v>35823336</v>
      </c>
      <c r="O47" s="19">
        <f t="shared" si="9"/>
        <v>0</v>
      </c>
      <c r="P47" s="19">
        <f t="shared" si="9"/>
        <v>0</v>
      </c>
      <c r="Q47" s="19">
        <f t="shared" si="9"/>
        <v>0</v>
      </c>
      <c r="R47" s="19">
        <f t="shared" si="9"/>
        <v>35823336</v>
      </c>
      <c r="S47" s="5">
        <f t="shared" si="1"/>
        <v>0.8515611239502702</v>
      </c>
      <c r="T47" s="12">
        <f t="shared" si="3"/>
        <v>85.15611239502702</v>
      </c>
      <c r="U47" s="12">
        <f t="shared" si="7"/>
        <v>85.15611239502702</v>
      </c>
      <c r="W47" s="5">
        <f t="shared" si="4"/>
        <v>0.6786225995259693</v>
      </c>
      <c r="X47" s="12">
        <f t="shared" si="5"/>
        <v>67.86225995259693</v>
      </c>
      <c r="Y47" s="12">
        <f t="shared" si="8"/>
        <v>67.86225995259693</v>
      </c>
    </row>
    <row r="48" spans="4:25" ht="10.5">
      <c r="D48" s="5">
        <f>+D47*0.5</f>
        <v>8666318</v>
      </c>
      <c r="R48" s="22">
        <f>+R47+M47+H47+(0.75*C47)</f>
        <v>314623473.75</v>
      </c>
      <c r="W48" s="5">
        <f>+((R47+L47+K47+J47*0.92)+(I47+G47+F47+E47*0.8)+(C47+D47-F50*0.5))</f>
        <v>321838994.92</v>
      </c>
      <c r="X48" s="5">
        <f t="shared" si="5"/>
        <v>32183899492</v>
      </c>
      <c r="Y48" s="5">
        <f t="shared" si="8"/>
        <v>32183899492</v>
      </c>
    </row>
    <row r="49" spans="3:25" ht="10.5">
      <c r="C49" s="5">
        <f>+C47*0.75</f>
        <v>45113397.75</v>
      </c>
      <c r="D49" s="5">
        <f>+(E47+F47+G47)*0.8</f>
        <v>56915440.800000004</v>
      </c>
      <c r="J49" s="8"/>
      <c r="V49" s="5">
        <v>1</v>
      </c>
      <c r="W49" s="5">
        <f>+(R47+L47+K47+J47)*0.92</f>
        <v>136186679.08</v>
      </c>
      <c r="X49" s="5">
        <f t="shared" si="5"/>
        <v>13618667908.000002</v>
      </c>
      <c r="Y49" s="5">
        <f t="shared" si="8"/>
        <v>13618667908.000002</v>
      </c>
    </row>
    <row r="50" spans="3:23" ht="10.5">
      <c r="C50" s="5">
        <f>+C49*0.5</f>
        <v>22556698.875</v>
      </c>
      <c r="D50" s="5">
        <f>SUM(D48:D49)</f>
        <v>65581758.800000004</v>
      </c>
      <c r="J50" s="8"/>
      <c r="M50" s="8"/>
      <c r="V50" s="5">
        <v>2</v>
      </c>
      <c r="W50" s="5">
        <f>+(+I47+G47+F47+E47)*0.8</f>
        <v>83318752.80000001</v>
      </c>
    </row>
    <row r="51" spans="22:23" ht="10.5">
      <c r="V51" s="5">
        <v>3</v>
      </c>
      <c r="W51" s="5">
        <f>+(+D47+C47-F50)*0.5</f>
        <v>38741916.5</v>
      </c>
    </row>
    <row r="52" ht="10.5">
      <c r="W52" s="5">
        <f>+W49+W50+W51</f>
        <v>258247348.38000003</v>
      </c>
    </row>
    <row r="53" spans="23:24" ht="10.5">
      <c r="W53" s="5">
        <f>+W52/(B47/2)</f>
        <v>0.6989732826432179</v>
      </c>
      <c r="X53" s="20">
        <v>0.68</v>
      </c>
    </row>
    <row r="55" spans="4:11" ht="10.5">
      <c r="D55" s="5">
        <f>+B47/2</f>
        <v>369466694.6402</v>
      </c>
      <c r="I55" s="19">
        <f>+D55+H57</f>
        <v>524642706.38908404</v>
      </c>
      <c r="K55" s="8">
        <f>+I55-D55</f>
        <v>155176011.74888402</v>
      </c>
    </row>
    <row r="56" ht="10.5">
      <c r="K56" s="5">
        <f>+I55/3</f>
        <v>174880902.12969467</v>
      </c>
    </row>
    <row r="57" spans="4:8" ht="10.5">
      <c r="D57" s="5">
        <f>+D55*0.08</f>
        <v>29557335.571216002</v>
      </c>
      <c r="E57" s="5">
        <f>+D55*0.12</f>
        <v>44336003.356824</v>
      </c>
      <c r="F57" s="5">
        <f>+D55*0.22</f>
        <v>81282672.82084401</v>
      </c>
      <c r="H57" s="19">
        <f>SUM(D57:G57)</f>
        <v>155176011.74888402</v>
      </c>
    </row>
  </sheetData>
  <autoFilter ref="A1:Y53"/>
  <printOptions/>
  <pageMargins left="0.7" right="0.7" top="0.75" bottom="0.75" header="0.3" footer="0.3"/>
  <pageSetup orientation="portrait"/>
  <ignoredErrors>
    <ignoredError sqref="C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Renshaw</dc:creator>
  <cp:keywords/>
  <dc:description/>
  <cp:lastModifiedBy>Natalie Stone</cp:lastModifiedBy>
  <dcterms:created xsi:type="dcterms:W3CDTF">2011-06-26T14:08:08Z</dcterms:created>
  <dcterms:modified xsi:type="dcterms:W3CDTF">2011-12-01T19:43:49Z</dcterms:modified>
  <cp:category/>
  <cp:version/>
  <cp:contentType/>
  <cp:contentStatus/>
</cp:coreProperties>
</file>