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20" yWindow="64796" windowWidth="12800" windowHeight="14460" activeTab="0"/>
  </bookViews>
  <sheets>
    <sheet name="Version2-viaJohnZoya" sheetId="1" r:id="rId1"/>
    <sheet name="Version1-ViaGF" sheetId="2" r:id="rId2"/>
  </sheets>
  <definedNames>
    <definedName name="_xlnm.Print_Area" localSheetId="0">'Version2-viaJohnZoya'!$B$3:$Y$52</definedName>
  </definedNames>
  <calcPr fullCalcOnLoad="1"/>
</workbook>
</file>

<file path=xl/comments1.xml><?xml version="1.0" encoding="utf-8"?>
<comments xmlns="http://schemas.openxmlformats.org/spreadsheetml/2006/main">
  <authors>
    <author>Senard Mwale</author>
  </authors>
  <commentList>
    <comment ref="O20" authorId="0">
      <text>
        <r>
          <rPr>
            <b/>
            <sz val="9"/>
            <rFont val="Tahoma"/>
            <family val="2"/>
          </rPr>
          <t>Senard Mwale:</t>
        </r>
        <r>
          <rPr>
            <sz val="9"/>
            <rFont val="Tahoma"/>
            <family val="2"/>
          </rPr>
          <t xml:space="preserve">
Mass distribution</t>
        </r>
      </text>
    </comment>
    <comment ref="O21" authorId="0">
      <text>
        <r>
          <rPr>
            <b/>
            <sz val="9"/>
            <rFont val="Tahoma"/>
            <family val="2"/>
          </rPr>
          <t>Senard Mwale:</t>
        </r>
        <r>
          <rPr>
            <sz val="9"/>
            <rFont val="Tahoma"/>
            <family val="2"/>
          </rPr>
          <t xml:space="preserve">
Mass distribution</t>
        </r>
      </text>
    </comment>
    <comment ref="O33" authorId="0">
      <text>
        <r>
          <rPr>
            <b/>
            <sz val="9"/>
            <rFont val="Tahoma"/>
            <family val="2"/>
          </rPr>
          <t>Senard Mwale:</t>
        </r>
        <r>
          <rPr>
            <sz val="9"/>
            <rFont val="Tahoma"/>
            <family val="2"/>
          </rPr>
          <t xml:space="preserve">
Mass distribution</t>
        </r>
      </text>
    </comment>
    <comment ref="N33" authorId="0">
      <text>
        <r>
          <rPr>
            <b/>
            <sz val="9"/>
            <rFont val="Tahoma"/>
            <family val="2"/>
          </rPr>
          <t>Senard Mwale:</t>
        </r>
        <r>
          <rPr>
            <sz val="9"/>
            <rFont val="Tahoma"/>
            <family val="2"/>
          </rPr>
          <t xml:space="preserve">
Global fund February 5700,  October 1700, </t>
        </r>
      </text>
    </comment>
  </commentList>
</comments>
</file>

<file path=xl/sharedStrings.xml><?xml version="1.0" encoding="utf-8"?>
<sst xmlns="http://schemas.openxmlformats.org/spreadsheetml/2006/main" count="143" uniqueCount="109">
  <si>
    <t>6. GF nets confirmed (indications are yes) and timing (Malawi process dependent)?</t>
  </si>
  <si>
    <t>7. PMI/USAid contribution?</t>
  </si>
  <si>
    <t>Nets required from whomever</t>
  </si>
  <si>
    <t>Nets at 1.8ppl/net</t>
  </si>
  <si>
    <t>Population</t>
  </si>
  <si>
    <t>GF</t>
  </si>
  <si>
    <t>PMI</t>
  </si>
  <si>
    <t>Gap?</t>
  </si>
  <si>
    <t>Revised calculation (AMF based on some data from John Zoya)?</t>
  </si>
  <si>
    <t>Pop.2008</t>
  </si>
  <si>
    <t>Proj. Pop.2009</t>
  </si>
  <si>
    <t xml:space="preserve">     No.</t>
  </si>
  <si>
    <t>Proj. Pop.2010</t>
  </si>
  <si>
    <t>Proj. Pop.2011</t>
  </si>
  <si>
    <t>Data</t>
  </si>
  <si>
    <t>Assumptions:</t>
  </si>
  <si>
    <t>People per net</t>
  </si>
  <si>
    <t>Pop. growth rate</t>
  </si>
  <si>
    <t>Usable nets after one year</t>
  </si>
  <si>
    <t>Usable nets after two years</t>
  </si>
  <si>
    <t>Usable nets after three years</t>
  </si>
  <si>
    <t>Usable nets after four years</t>
  </si>
  <si>
    <t xml:space="preserve">DISTRICT </t>
  </si>
  <si>
    <t xml:space="preserve"> (from NMCP, John Zoya)</t>
  </si>
  <si>
    <t>Useful LLINs:</t>
  </si>
  <si>
    <r>
      <t>Nets distrbtd. in 2009 (</t>
    </r>
    <r>
      <rPr>
        <b/>
        <i/>
        <sz val="12"/>
        <color indexed="53"/>
        <rFont val="Times New Roman"/>
        <family val="1"/>
      </rPr>
      <t>B</t>
    </r>
    <r>
      <rPr>
        <b/>
        <sz val="12"/>
        <rFont val="Times New Roman"/>
        <family val="1"/>
      </rPr>
      <t>)</t>
    </r>
  </si>
  <si>
    <r>
      <t>Nets distrbtd. in 2008 (</t>
    </r>
    <r>
      <rPr>
        <b/>
        <i/>
        <sz val="12"/>
        <color indexed="53"/>
        <rFont val="Times New Roman"/>
        <family val="1"/>
      </rPr>
      <t>A</t>
    </r>
    <r>
      <rPr>
        <b/>
        <sz val="12"/>
        <rFont val="Times New Roman"/>
        <family val="1"/>
      </rPr>
      <t>)</t>
    </r>
  </si>
  <si>
    <r>
      <t>Nets distrbtd. in 2010 (</t>
    </r>
    <r>
      <rPr>
        <b/>
        <i/>
        <sz val="12"/>
        <color indexed="53"/>
        <rFont val="Times New Roman"/>
        <family val="1"/>
      </rPr>
      <t>C</t>
    </r>
    <r>
      <rPr>
        <b/>
        <sz val="12"/>
        <rFont val="Times New Roman"/>
        <family val="1"/>
      </rPr>
      <t xml:space="preserve">) </t>
    </r>
  </si>
  <si>
    <t>Other</t>
  </si>
  <si>
    <t>AMF</t>
  </si>
  <si>
    <t>Global Fund</t>
  </si>
  <si>
    <t>Required</t>
  </si>
  <si>
    <t>Committed sources of nets</t>
  </si>
  <si>
    <t>Still required</t>
  </si>
  <si>
    <t>w</t>
  </si>
  <si>
    <t>x</t>
  </si>
  <si>
    <t>y</t>
  </si>
  <si>
    <t>z</t>
  </si>
  <si>
    <r>
      <t>Total nets equired for universal coverage (Assuming no nets in place) (</t>
    </r>
    <r>
      <rPr>
        <b/>
        <sz val="12"/>
        <color indexed="12"/>
        <rFont val="Times New Roman"/>
        <family val="1"/>
      </rPr>
      <t>TN</t>
    </r>
    <r>
      <rPr>
        <b/>
        <sz val="12"/>
        <rFont val="Times New Roman"/>
        <family val="1"/>
      </rPr>
      <t>)</t>
    </r>
  </si>
  <si>
    <r>
      <t>Estimtaed % of nets already in place (</t>
    </r>
    <r>
      <rPr>
        <b/>
        <sz val="12"/>
        <color indexed="12"/>
        <rFont val="Times New Roman"/>
        <family val="1"/>
      </rPr>
      <t>UN</t>
    </r>
    <r>
      <rPr>
        <b/>
        <sz val="12"/>
        <rFont val="Times New Roman"/>
        <family val="1"/>
      </rPr>
      <t>/</t>
    </r>
    <r>
      <rPr>
        <b/>
        <sz val="12"/>
        <color indexed="12"/>
        <rFont val="Times New Roman"/>
        <family val="1"/>
      </rPr>
      <t>TN</t>
    </r>
    <r>
      <rPr>
        <b/>
        <sz val="12"/>
        <rFont val="Times New Roman"/>
        <family val="1"/>
      </rPr>
      <t>)</t>
    </r>
  </si>
  <si>
    <r>
      <t>Estimated useful LLINs available (</t>
    </r>
    <r>
      <rPr>
        <b/>
        <sz val="12"/>
        <color indexed="12"/>
        <rFont val="Times New Roman"/>
        <family val="1"/>
      </rPr>
      <t>UN</t>
    </r>
    <r>
      <rPr>
        <b/>
        <sz val="12"/>
        <rFont val="Times New Roman"/>
        <family val="1"/>
      </rPr>
      <t>) (w</t>
    </r>
    <r>
      <rPr>
        <b/>
        <i/>
        <sz val="12"/>
        <rFont val="Times New Roman"/>
        <family val="1"/>
      </rPr>
      <t>%</t>
    </r>
    <r>
      <rPr>
        <b/>
        <i/>
        <sz val="12"/>
        <color indexed="53"/>
        <rFont val="Times New Roman"/>
        <family val="1"/>
      </rPr>
      <t>A</t>
    </r>
    <r>
      <rPr>
        <b/>
        <i/>
        <sz val="12"/>
        <rFont val="Times New Roman"/>
        <family val="1"/>
      </rPr>
      <t>+x%</t>
    </r>
    <r>
      <rPr>
        <b/>
        <i/>
        <sz val="12"/>
        <color indexed="53"/>
        <rFont val="Times New Roman"/>
        <family val="1"/>
      </rPr>
      <t>B</t>
    </r>
    <r>
      <rPr>
        <b/>
        <i/>
        <sz val="12"/>
        <rFont val="Times New Roman"/>
        <family val="1"/>
      </rPr>
      <t>+y%</t>
    </r>
    <r>
      <rPr>
        <b/>
        <i/>
        <sz val="12"/>
        <color indexed="53"/>
        <rFont val="Times New Roman"/>
        <family val="1"/>
      </rPr>
      <t>C</t>
    </r>
    <r>
      <rPr>
        <b/>
        <i/>
        <sz val="12"/>
        <rFont val="Times New Roman"/>
        <family val="1"/>
      </rPr>
      <t>+z%</t>
    </r>
    <r>
      <rPr>
        <b/>
        <i/>
        <sz val="12"/>
        <color indexed="53"/>
        <rFont val="Times New Roman"/>
        <family val="1"/>
      </rPr>
      <t>D</t>
    </r>
    <r>
      <rPr>
        <b/>
        <sz val="12"/>
        <rFont val="Times New Roman"/>
        <family val="1"/>
      </rPr>
      <t>)</t>
    </r>
  </si>
  <si>
    <t>Subtotal</t>
  </si>
  <si>
    <t>AMF deals with Ntcheu</t>
  </si>
  <si>
    <t>% (A/B)</t>
  </si>
  <si>
    <t>Nets available from GF+PMI (A)</t>
  </si>
  <si>
    <t>Total nets required excluding Ntcheu (B)</t>
  </si>
  <si>
    <r>
      <t>Total nets distributed last 3 years (</t>
    </r>
    <r>
      <rPr>
        <b/>
        <sz val="12"/>
        <color indexed="14"/>
        <rFont val="Times New Roman"/>
        <family val="1"/>
      </rPr>
      <t>TD</t>
    </r>
    <r>
      <rPr>
        <b/>
        <sz val="12"/>
        <rFont val="Times New Roman"/>
        <family val="1"/>
      </rPr>
      <t>) (</t>
    </r>
    <r>
      <rPr>
        <b/>
        <sz val="12"/>
        <color indexed="52"/>
        <rFont val="Times New Roman"/>
        <family val="1"/>
      </rPr>
      <t>B</t>
    </r>
    <r>
      <rPr>
        <b/>
        <sz val="12"/>
        <rFont val="Times New Roman"/>
        <family val="1"/>
      </rPr>
      <t>+</t>
    </r>
    <r>
      <rPr>
        <b/>
        <sz val="12"/>
        <color indexed="52"/>
        <rFont val="Times New Roman"/>
        <family val="1"/>
      </rPr>
      <t>C</t>
    </r>
    <r>
      <rPr>
        <b/>
        <sz val="12"/>
        <rFont val="Times New Roman"/>
        <family val="1"/>
      </rPr>
      <t>+</t>
    </r>
    <r>
      <rPr>
        <b/>
        <sz val="12"/>
        <color indexed="52"/>
        <rFont val="Times New Roman"/>
        <family val="1"/>
      </rPr>
      <t>D</t>
    </r>
    <r>
      <rPr>
        <b/>
        <sz val="12"/>
        <rFont val="Times New Roman"/>
        <family val="1"/>
      </rPr>
      <t>)</t>
    </r>
  </si>
  <si>
    <r>
      <t>% still usable (</t>
    </r>
    <r>
      <rPr>
        <b/>
        <sz val="12"/>
        <color indexed="12"/>
        <rFont val="Times New Roman"/>
        <family val="1"/>
      </rPr>
      <t>UN</t>
    </r>
    <r>
      <rPr>
        <b/>
        <sz val="12"/>
        <rFont val="Times New Roman"/>
        <family val="1"/>
      </rPr>
      <t>/</t>
    </r>
    <r>
      <rPr>
        <b/>
        <sz val="12"/>
        <color indexed="14"/>
        <rFont val="Times New Roman"/>
        <family val="1"/>
      </rPr>
      <t>TD</t>
    </r>
    <r>
      <rPr>
        <b/>
        <sz val="12"/>
        <rFont val="Times New Roman"/>
        <family val="1"/>
      </rPr>
      <t>)</t>
    </r>
  </si>
  <si>
    <r>
      <t>ADDITIONAL NETS REQD to achieve universal coverage</t>
    </r>
    <r>
      <rPr>
        <b/>
        <sz val="12"/>
        <rFont val="Times New Roman"/>
        <family val="1"/>
      </rPr>
      <t xml:space="preserve"> (</t>
    </r>
    <r>
      <rPr>
        <b/>
        <sz val="12"/>
        <color indexed="12"/>
        <rFont val="Times New Roman"/>
        <family val="1"/>
      </rPr>
      <t>TN</t>
    </r>
    <r>
      <rPr>
        <b/>
        <sz val="12"/>
        <rFont val="Times New Roman"/>
        <family val="1"/>
      </rPr>
      <t>-</t>
    </r>
    <r>
      <rPr>
        <b/>
        <sz val="12"/>
        <color indexed="12"/>
        <rFont val="Times New Roman"/>
        <family val="1"/>
      </rPr>
      <t>UN</t>
    </r>
    <r>
      <rPr>
        <b/>
        <sz val="12"/>
        <rFont val="Times New Roman"/>
        <family val="1"/>
      </rPr>
      <t>)</t>
    </r>
  </si>
  <si>
    <t xml:space="preserve">Nets distrbtd. in 2011 (D) </t>
  </si>
  <si>
    <t xml:space="preserve">                         DISTRICT </t>
  </si>
  <si>
    <t>CHITIPA</t>
  </si>
  <si>
    <t>KARONGA</t>
  </si>
  <si>
    <t>RUMPHI</t>
  </si>
  <si>
    <t>MZIMBA</t>
  </si>
  <si>
    <t>NKHATA BAY</t>
  </si>
  <si>
    <t>LIKOMA</t>
  </si>
  <si>
    <t>NKHOTA KOTA</t>
  </si>
  <si>
    <t>SALIMA</t>
  </si>
  <si>
    <t>DOWA</t>
  </si>
  <si>
    <t>NTCHISI</t>
  </si>
  <si>
    <t>KASUNGU</t>
  </si>
  <si>
    <t>MCHINJI</t>
  </si>
  <si>
    <t>LILONGWE</t>
  </si>
  <si>
    <t>DEDZA</t>
  </si>
  <si>
    <t>NTCHEU</t>
  </si>
  <si>
    <t>BALAKA</t>
  </si>
  <si>
    <t>MANGOCHI</t>
  </si>
  <si>
    <t>MACHINGA</t>
  </si>
  <si>
    <t>ZOMBA</t>
  </si>
  <si>
    <t>PHALOMBE</t>
  </si>
  <si>
    <t>MULANJE</t>
  </si>
  <si>
    <t>THYOLO</t>
  </si>
  <si>
    <t>BLANTYRE</t>
  </si>
  <si>
    <t>CHIRADZULU</t>
  </si>
  <si>
    <t>MWANZA</t>
  </si>
  <si>
    <t>NENO</t>
  </si>
  <si>
    <t>CHIKHWAWA</t>
  </si>
  <si>
    <t>NSANJE</t>
  </si>
  <si>
    <t>GRAND TOTAL</t>
  </si>
  <si>
    <t>UNIVERSAL COVERAGE OF LONG LASTING INSECTICIDES TREATED NETS (LLINs)</t>
  </si>
  <si>
    <t>QUANTITIES OF LLINs THAT WILL BE DISTRIBUTED PER DISTRICT (MASS DISTRIBUTION)</t>
  </si>
  <si>
    <t>2011 Projected Population</t>
  </si>
  <si>
    <t>Required LLINs for Universal Coverage</t>
  </si>
  <si>
    <t>LLINs round 7</t>
  </si>
  <si>
    <t>ASSUMPTIONS:</t>
  </si>
  <si>
    <t xml:space="preserve">a) One LLIN per two people </t>
  </si>
  <si>
    <t>c) Life span of 2 years for the LLINs</t>
  </si>
  <si>
    <t xml:space="preserve">a. LLINs from Global Fund Round 7 &amp; 9 are programmed for </t>
  </si>
  <si>
    <t>2011 mass distribution as indicated on the table above</t>
  </si>
  <si>
    <t>Please Note:</t>
  </si>
  <si>
    <t>MINISTRY OF HEALTH</t>
  </si>
  <si>
    <t>e) Malawi Red Cross wil contribute about 60,000 LLINs for universal access</t>
  </si>
  <si>
    <t>d) About 500,000 LLINs from PMI coming around July 2011 will be used for Universal coverage</t>
  </si>
  <si>
    <t xml:space="preserve">LLINs distributed in 2009 from partners </t>
  </si>
  <si>
    <t>f) 50% loss  of LLINs from 25 to 36 months according to RBM formula this has been applied to 2009 LLINs</t>
  </si>
  <si>
    <t>g) 8% loss of LLINs from 0 to 12 months according to RBM formula applied to 2010 nets</t>
  </si>
  <si>
    <t>h) 576,297 distributed between 2009 and 2010 will no longer be available by the time of Mass distribution</t>
  </si>
  <si>
    <t>b)Mass distribution will take into account existing LLINs in circuration (available LLINs in the households)</t>
  </si>
  <si>
    <t>Usable nets in place</t>
  </si>
  <si>
    <t>LLINs distributed in 2010 from partners</t>
  </si>
  <si>
    <t>Gap</t>
  </si>
  <si>
    <t>QUESTIONS STILL TO BE ANSWERED</t>
  </si>
  <si>
    <t>LLINs Round 9</t>
  </si>
  <si>
    <t>5. Consistency of data above (some negative numbers?)</t>
  </si>
  <si>
    <t>1. Population figure accurate?</t>
  </si>
  <si>
    <t>2. 2 people per net or 1.8?</t>
  </si>
  <si>
    <t>3. How to account for already distributed nets during logistics of distribution?</t>
  </si>
  <si>
    <t>4. Usable nets calculation valid?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</si>
</sst>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_-;\-* #,##0.000_-;_-* &quot;-&quot;???_-;_-@_-"/>
    <numFmt numFmtId="184" formatCode="_-* #,##0.0_-;\-* #,##0.0_-;_-* &quot;-&quot;?_-;_-@_-"/>
    <numFmt numFmtId="185" formatCode="0.0%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color indexed="17"/>
      <name val="Arial"/>
      <family val="2"/>
    </font>
    <font>
      <b/>
      <u val="single"/>
      <sz val="12"/>
      <color indexed="17"/>
      <name val="Times New Roman"/>
      <family val="1"/>
    </font>
    <font>
      <b/>
      <sz val="12"/>
      <name val="Arial"/>
      <family val="2"/>
    </font>
    <font>
      <b/>
      <u val="single"/>
      <sz val="12"/>
      <color indexed="1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Times New Roman"/>
      <family val="1"/>
    </font>
    <font>
      <b/>
      <i/>
      <sz val="12"/>
      <color indexed="53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53"/>
      <name val="Times New Roman"/>
      <family val="1"/>
    </font>
    <font>
      <i/>
      <sz val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14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81" fontId="0" fillId="0" borderId="0" xfId="0" applyNumberForma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181" fontId="0" fillId="0" borderId="0" xfId="42" applyNumberFormat="1" applyFont="1" applyAlignment="1">
      <alignment/>
    </xf>
    <xf numFmtId="0" fontId="0" fillId="0" borderId="0" xfId="0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181" fontId="1" fillId="0" borderId="10" xfId="42" applyNumberFormat="1" applyFont="1" applyBorder="1" applyAlignment="1">
      <alignment/>
    </xf>
    <xf numFmtId="171" fontId="1" fillId="0" borderId="0" xfId="0" applyNumberFormat="1" applyFont="1" applyAlignment="1">
      <alignment/>
    </xf>
    <xf numFmtId="3" fontId="1" fillId="0" borderId="10" xfId="42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1" fillId="0" borderId="0" xfId="0" applyNumberFormat="1" applyFont="1" applyAlignment="1">
      <alignment/>
    </xf>
    <xf numFmtId="0" fontId="9" fillId="0" borderId="10" xfId="0" applyFont="1" applyBorder="1" applyAlignment="1">
      <alignment horizontal="right" vertical="center"/>
    </xf>
    <xf numFmtId="181" fontId="10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181" fontId="10" fillId="0" borderId="12" xfId="0" applyNumberFormat="1" applyFont="1" applyBorder="1" applyAlignment="1">
      <alignment/>
    </xf>
    <xf numFmtId="181" fontId="9" fillId="0" borderId="13" xfId="0" applyNumberFormat="1" applyFont="1" applyBorder="1" applyAlignment="1">
      <alignment/>
    </xf>
    <xf numFmtId="0" fontId="2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181" fontId="1" fillId="24" borderId="10" xfId="42" applyNumberFormat="1" applyFont="1" applyFill="1" applyBorder="1" applyAlignment="1">
      <alignment/>
    </xf>
    <xf numFmtId="181" fontId="10" fillId="24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 wrapText="1"/>
    </xf>
    <xf numFmtId="181" fontId="4" fillId="20" borderId="0" xfId="0" applyNumberFormat="1" applyFont="1" applyFill="1" applyAlignment="1">
      <alignment/>
    </xf>
    <xf numFmtId="0" fontId="4" fillId="20" borderId="0" xfId="0" applyFont="1" applyFill="1" applyAlignment="1">
      <alignment/>
    </xf>
    <xf numFmtId="0" fontId="12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3" fontId="0" fillId="0" borderId="14" xfId="0" applyNumberForma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/>
    </xf>
    <xf numFmtId="181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81" fontId="15" fillId="24" borderId="0" xfId="0" applyNumberFormat="1" applyFont="1" applyFill="1" applyAlignment="1">
      <alignment/>
    </xf>
    <xf numFmtId="3" fontId="15" fillId="24" borderId="0" xfId="0" applyNumberFormat="1" applyFont="1" applyFill="1" applyAlignment="1">
      <alignment/>
    </xf>
    <xf numFmtId="181" fontId="13" fillId="24" borderId="10" xfId="0" applyNumberFormat="1" applyFont="1" applyFill="1" applyBorder="1" applyAlignment="1">
      <alignment/>
    </xf>
    <xf numFmtId="181" fontId="13" fillId="0" borderId="14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3" fontId="2" fillId="2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181" fontId="2" fillId="2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181" fontId="1" fillId="0" borderId="0" xfId="0" applyNumberFormat="1" applyFont="1" applyAlignment="1">
      <alignment/>
    </xf>
    <xf numFmtId="18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81" fontId="2" fillId="0" borderId="14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181" fontId="2" fillId="0" borderId="14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1" fontId="2" fillId="0" borderId="0" xfId="0" applyNumberFormat="1" applyFont="1" applyFill="1" applyAlignment="1">
      <alignment vertical="center" wrapText="1"/>
    </xf>
    <xf numFmtId="181" fontId="2" fillId="2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82" fontId="1" fillId="0" borderId="0" xfId="0" applyNumberFormat="1" applyFont="1" applyAlignment="1">
      <alignment/>
    </xf>
    <xf numFmtId="0" fontId="1" fillId="20" borderId="0" xfId="0" applyFont="1" applyFill="1" applyAlignment="1">
      <alignment/>
    </xf>
    <xf numFmtId="185" fontId="2" fillId="0" borderId="0" xfId="59" applyNumberFormat="1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85" fontId="2" fillId="25" borderId="0" xfId="59" applyNumberFormat="1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9" fontId="2" fillId="25" borderId="0" xfId="59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181" fontId="9" fillId="0" borderId="14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181" fontId="2" fillId="0" borderId="0" xfId="0" applyNumberFormat="1" applyFont="1" applyFill="1" applyAlignment="1">
      <alignment wrapText="1"/>
    </xf>
    <xf numFmtId="181" fontId="2" fillId="0" borderId="0" xfId="0" applyNumberFormat="1" applyFont="1" applyAlignment="1">
      <alignment horizontal="right"/>
    </xf>
    <xf numFmtId="3" fontId="9" fillId="0" borderId="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35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25" borderId="0" xfId="0" applyFont="1" applyFill="1" applyBorder="1" applyAlignment="1">
      <alignment vertical="top" wrapText="1"/>
    </xf>
    <xf numFmtId="181" fontId="2" fillId="25" borderId="0" xfId="0" applyNumberFormat="1" applyFont="1" applyFill="1" applyAlignment="1">
      <alignment/>
    </xf>
    <xf numFmtId="181" fontId="1" fillId="25" borderId="0" xfId="0" applyNumberFormat="1" applyFont="1" applyFill="1" applyAlignment="1">
      <alignment/>
    </xf>
    <xf numFmtId="3" fontId="2" fillId="25" borderId="0" xfId="0" applyNumberFormat="1" applyFont="1" applyFill="1" applyBorder="1" applyAlignment="1">
      <alignment vertical="top" wrapText="1"/>
    </xf>
    <xf numFmtId="3" fontId="1" fillId="25" borderId="0" xfId="0" applyNumberFormat="1" applyFont="1" applyFill="1" applyBorder="1" applyAlignment="1">
      <alignment vertical="top" wrapText="1"/>
    </xf>
    <xf numFmtId="3" fontId="9" fillId="25" borderId="0" xfId="0" applyNumberFormat="1" applyFont="1" applyFill="1" applyBorder="1" applyAlignment="1">
      <alignment vertical="top" wrapText="1"/>
    </xf>
    <xf numFmtId="0" fontId="1" fillId="25" borderId="0" xfId="0" applyFont="1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vertical="center" wrapText="1"/>
    </xf>
    <xf numFmtId="181" fontId="2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/>
    </xf>
    <xf numFmtId="9" fontId="2" fillId="0" borderId="0" xfId="59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181" fontId="7" fillId="0" borderId="14" xfId="0" applyNumberFormat="1" applyFont="1" applyBorder="1" applyAlignment="1">
      <alignment/>
    </xf>
    <xf numFmtId="181" fontId="40" fillId="0" borderId="14" xfId="0" applyNumberFormat="1" applyFont="1" applyBorder="1" applyAlignment="1">
      <alignment/>
    </xf>
    <xf numFmtId="0" fontId="41" fillId="0" borderId="0" xfId="0" applyFont="1" applyBorder="1" applyAlignment="1">
      <alignment horizontal="left"/>
    </xf>
    <xf numFmtId="0" fontId="41" fillId="0" borderId="0" xfId="0" applyFont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9" fontId="1" fillId="0" borderId="0" xfId="59" applyFont="1" applyFill="1" applyBorder="1" applyAlignment="1">
      <alignment/>
    </xf>
    <xf numFmtId="181" fontId="9" fillId="0" borderId="0" xfId="0" applyNumberFormat="1" applyFont="1" applyFill="1" applyAlignment="1">
      <alignment/>
    </xf>
    <xf numFmtId="181" fontId="9" fillId="25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 wrapText="1"/>
    </xf>
    <xf numFmtId="9" fontId="2" fillId="0" borderId="14" xfId="59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81" fontId="42" fillId="0" borderId="0" xfId="0" applyNumberFormat="1" applyFont="1" applyAlignment="1">
      <alignment/>
    </xf>
    <xf numFmtId="181" fontId="42" fillId="25" borderId="0" xfId="0" applyNumberFormat="1" applyFont="1" applyFill="1" applyAlignment="1">
      <alignment/>
    </xf>
    <xf numFmtId="181" fontId="42" fillId="0" borderId="14" xfId="0" applyNumberFormat="1" applyFont="1" applyFill="1" applyBorder="1" applyAlignment="1">
      <alignment/>
    </xf>
    <xf numFmtId="181" fontId="2" fillId="0" borderId="0" xfId="0" applyNumberFormat="1" applyFont="1" applyBorder="1" applyAlignment="1">
      <alignment/>
    </xf>
    <xf numFmtId="9" fontId="2" fillId="0" borderId="0" xfId="59" applyFont="1" applyFill="1" applyAlignment="1">
      <alignment horizontal="center"/>
    </xf>
    <xf numFmtId="0" fontId="42" fillId="0" borderId="0" xfId="0" applyFont="1" applyAlignment="1">
      <alignment horizontal="right" wrapText="1"/>
    </xf>
    <xf numFmtId="9" fontId="1" fillId="25" borderId="0" xfId="59" applyFont="1" applyFill="1" applyBorder="1" applyAlignment="1">
      <alignment/>
    </xf>
    <xf numFmtId="181" fontId="1" fillId="25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/>
    </xf>
    <xf numFmtId="181" fontId="1" fillId="0" borderId="16" xfId="0" applyNumberFormat="1" applyFont="1" applyBorder="1" applyAlignment="1">
      <alignment/>
    </xf>
    <xf numFmtId="181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81" fontId="1" fillId="0" borderId="0" xfId="0" applyNumberFormat="1" applyFont="1" applyBorder="1" applyAlignment="1">
      <alignment/>
    </xf>
    <xf numFmtId="182" fontId="1" fillId="0" borderId="0" xfId="0" applyNumberFormat="1" applyFont="1" applyBorder="1" applyAlignment="1">
      <alignment/>
    </xf>
    <xf numFmtId="181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9" fontId="1" fillId="0" borderId="22" xfId="59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X63"/>
  <sheetViews>
    <sheetView tabSelected="1" zoomScale="75" zoomScaleNormal="75" zoomScaleSheetLayoutView="75" zoomScalePageLayoutView="0" workbookViewId="0" topLeftCell="M1">
      <selection activeCell="Q28" sqref="Q28"/>
    </sheetView>
  </sheetViews>
  <sheetFormatPr defaultColWidth="9.140625" defaultRowHeight="12.75"/>
  <cols>
    <col min="1" max="1" width="9.140625" style="67" customWidth="1"/>
    <col min="2" max="2" width="6.421875" style="67" customWidth="1"/>
    <col min="3" max="3" width="31.28125" style="67" customWidth="1"/>
    <col min="4" max="4" width="0.85546875" style="67" customWidth="1"/>
    <col min="5" max="8" width="13.140625" style="67" customWidth="1"/>
    <col min="9" max="9" width="0.85546875" style="67" customWidth="1"/>
    <col min="10" max="10" width="22.421875" style="67" customWidth="1"/>
    <col min="11" max="11" width="0.85546875" style="77" customWidth="1"/>
    <col min="12" max="15" width="14.7109375" style="67" customWidth="1"/>
    <col min="16" max="16" width="0.85546875" style="84" customWidth="1"/>
    <col min="17" max="17" width="18.140625" style="67" customWidth="1"/>
    <col min="18" max="18" width="0.85546875" style="67" customWidth="1"/>
    <col min="19" max="19" width="16.28125" style="67" customWidth="1"/>
    <col min="20" max="20" width="0.85546875" style="67" customWidth="1"/>
    <col min="21" max="21" width="13.140625" style="84" customWidth="1"/>
    <col min="22" max="22" width="10.421875" style="84" customWidth="1"/>
    <col min="23" max="23" width="0.85546875" style="67" customWidth="1"/>
    <col min="24" max="24" width="15.7109375" style="67" customWidth="1"/>
    <col min="25" max="25" width="0.85546875" style="67" customWidth="1"/>
    <col min="26" max="27" width="8.8515625" style="0" customWidth="1"/>
    <col min="28" max="28" width="0.85546875" style="84" customWidth="1"/>
    <col min="29" max="29" width="9.140625" style="84" customWidth="1"/>
    <col min="30" max="30" width="15.421875" style="84" customWidth="1"/>
    <col min="31" max="50" width="9.140625" style="84" customWidth="1"/>
    <col min="51" max="16384" width="9.140625" style="67" customWidth="1"/>
  </cols>
  <sheetData>
    <row r="1" ht="15.75"/>
    <row r="2" ht="15.75"/>
    <row r="3" spans="2:8" ht="15.75">
      <c r="B3" s="88" t="s">
        <v>91</v>
      </c>
      <c r="C3" s="88"/>
      <c r="D3" s="88"/>
      <c r="E3" s="88"/>
      <c r="F3" s="88"/>
      <c r="G3" s="89"/>
      <c r="H3" s="89"/>
    </row>
    <row r="4" spans="2:8" ht="15.75">
      <c r="B4" s="90" t="s">
        <v>80</v>
      </c>
      <c r="C4" s="90"/>
      <c r="D4" s="90"/>
      <c r="E4" s="90"/>
      <c r="F4" s="90"/>
      <c r="G4" s="90"/>
      <c r="H4" s="89"/>
    </row>
    <row r="5" spans="2:25" ht="15.75">
      <c r="B5" s="91" t="s">
        <v>81</v>
      </c>
      <c r="C5" s="91"/>
      <c r="D5" s="91"/>
      <c r="E5" s="91"/>
      <c r="F5" s="91"/>
      <c r="G5" s="91"/>
      <c r="H5" s="91"/>
      <c r="O5" s="112"/>
      <c r="Q5" s="112"/>
      <c r="R5" s="112"/>
      <c r="S5" s="112"/>
      <c r="T5" s="112"/>
      <c r="W5" s="112"/>
      <c r="X5" s="112"/>
      <c r="Y5" s="112"/>
    </row>
    <row r="6" spans="2:25" ht="15.75">
      <c r="B6" s="91"/>
      <c r="C6" s="91"/>
      <c r="D6" s="91"/>
      <c r="E6" s="91"/>
      <c r="F6" s="91"/>
      <c r="G6" s="91"/>
      <c r="H6" s="91"/>
      <c r="O6" s="112"/>
      <c r="Q6" s="120"/>
      <c r="R6" s="120"/>
      <c r="S6" s="120"/>
      <c r="T6" s="120"/>
      <c r="W6" s="120"/>
      <c r="X6" s="120"/>
      <c r="Y6" s="120"/>
    </row>
    <row r="7" spans="3:25" ht="15.75" customHeight="1">
      <c r="C7" s="95" t="s">
        <v>14</v>
      </c>
      <c r="D7" s="57"/>
      <c r="E7" s="86"/>
      <c r="F7" s="91" t="s">
        <v>23</v>
      </c>
      <c r="M7" s="127">
        <v>2011</v>
      </c>
      <c r="N7" s="68" t="s">
        <v>18</v>
      </c>
      <c r="Q7" s="94">
        <v>0.9</v>
      </c>
      <c r="R7" s="138"/>
      <c r="S7" s="124" t="s">
        <v>37</v>
      </c>
      <c r="T7" s="112"/>
      <c r="W7" s="112"/>
      <c r="Y7" s="112"/>
    </row>
    <row r="8" spans="3:25" ht="15.75" customHeight="1">
      <c r="C8" s="57" t="s">
        <v>15</v>
      </c>
      <c r="D8" s="57"/>
      <c r="M8" s="127">
        <v>2010</v>
      </c>
      <c r="N8" s="68" t="s">
        <v>19</v>
      </c>
      <c r="Q8" s="94">
        <v>0.7</v>
      </c>
      <c r="R8" s="138"/>
      <c r="S8" s="126" t="s">
        <v>36</v>
      </c>
      <c r="T8" s="112"/>
      <c r="W8" s="112"/>
      <c r="Y8" s="121"/>
    </row>
    <row r="9" spans="2:25" ht="15.75" customHeight="1">
      <c r="B9" s="57"/>
      <c r="C9" s="57" t="s">
        <v>17</v>
      </c>
      <c r="D9" s="57"/>
      <c r="E9" s="92">
        <v>0.028</v>
      </c>
      <c r="M9" s="127">
        <v>2009</v>
      </c>
      <c r="N9" s="68" t="s">
        <v>20</v>
      </c>
      <c r="Q9" s="94">
        <v>0.2</v>
      </c>
      <c r="R9" s="138"/>
      <c r="S9" s="125" t="s">
        <v>35</v>
      </c>
      <c r="Y9" s="104"/>
    </row>
    <row r="10" spans="2:25" ht="15.75" customHeight="1">
      <c r="B10" s="57"/>
      <c r="C10" s="68" t="s">
        <v>16</v>
      </c>
      <c r="D10" s="57"/>
      <c r="E10" s="93">
        <v>1.8</v>
      </c>
      <c r="M10" s="127">
        <v>2008</v>
      </c>
      <c r="N10" s="68" t="s">
        <v>21</v>
      </c>
      <c r="Q10" s="94">
        <v>0</v>
      </c>
      <c r="R10" s="138"/>
      <c r="S10" s="125" t="s">
        <v>34</v>
      </c>
      <c r="Y10" s="104"/>
    </row>
    <row r="11" spans="2:25" ht="15.75" customHeight="1">
      <c r="B11" s="57"/>
      <c r="D11" s="57"/>
      <c r="X11" s="104"/>
      <c r="Y11" s="104"/>
    </row>
    <row r="12" spans="2:28" ht="81" customHeight="1">
      <c r="B12" s="61"/>
      <c r="C12" s="98" t="s">
        <v>22</v>
      </c>
      <c r="D12" s="61"/>
      <c r="E12" s="69" t="s">
        <v>9</v>
      </c>
      <c r="F12" s="69" t="s">
        <v>10</v>
      </c>
      <c r="G12" s="69" t="s">
        <v>12</v>
      </c>
      <c r="H12" s="69" t="s">
        <v>13</v>
      </c>
      <c r="I12" s="69"/>
      <c r="J12" s="69" t="s">
        <v>38</v>
      </c>
      <c r="K12" s="69"/>
      <c r="L12" s="69" t="s">
        <v>26</v>
      </c>
      <c r="M12" s="69" t="s">
        <v>25</v>
      </c>
      <c r="N12" s="69" t="s">
        <v>27</v>
      </c>
      <c r="O12" s="69" t="s">
        <v>49</v>
      </c>
      <c r="P12" s="113"/>
      <c r="Q12" s="69" t="s">
        <v>40</v>
      </c>
      <c r="R12" s="69"/>
      <c r="S12" s="131" t="s">
        <v>39</v>
      </c>
      <c r="U12" s="131" t="s">
        <v>46</v>
      </c>
      <c r="V12" s="131" t="s">
        <v>47</v>
      </c>
      <c r="X12" s="139" t="s">
        <v>48</v>
      </c>
      <c r="Y12" s="102"/>
      <c r="AB12" s="131"/>
    </row>
    <row r="13" spans="2:19" ht="12.75" customHeight="1">
      <c r="B13" s="58"/>
      <c r="C13" s="58"/>
      <c r="D13" s="58"/>
      <c r="E13" s="70"/>
      <c r="F13" s="70"/>
      <c r="G13" s="70"/>
      <c r="H13" s="70"/>
      <c r="I13" s="70"/>
      <c r="J13" s="70"/>
      <c r="K13" s="70"/>
      <c r="L13" s="71"/>
      <c r="M13" s="71"/>
      <c r="N13" s="71"/>
      <c r="O13" s="70"/>
      <c r="P13" s="114"/>
      <c r="Q13" s="70"/>
      <c r="R13" s="70"/>
      <c r="S13" s="84"/>
    </row>
    <row r="14" spans="2:28" ht="15.75" customHeight="1">
      <c r="B14" s="59">
        <v>1</v>
      </c>
      <c r="C14" s="60" t="s">
        <v>51</v>
      </c>
      <c r="D14" s="60"/>
      <c r="E14" s="72">
        <v>179072</v>
      </c>
      <c r="F14" s="73">
        <f aca="true" t="shared" si="0" ref="F14:H41">E14*(1+$E$9)</f>
        <v>184086.016</v>
      </c>
      <c r="G14" s="73">
        <f t="shared" si="0"/>
        <v>189240.424448</v>
      </c>
      <c r="H14" s="74">
        <f t="shared" si="0"/>
        <v>194539.15633254402</v>
      </c>
      <c r="I14" s="74"/>
      <c r="J14" s="129">
        <f aca="true" t="shared" si="1" ref="J14:J41">H14/$E$10</f>
        <v>108077.30907363557</v>
      </c>
      <c r="K14" s="73"/>
      <c r="L14" s="72">
        <v>16590</v>
      </c>
      <c r="M14" s="72">
        <v>16970</v>
      </c>
      <c r="N14" s="63">
        <v>20330</v>
      </c>
      <c r="O14" s="63">
        <v>7600</v>
      </c>
      <c r="P14" s="66"/>
      <c r="Q14" s="101">
        <f aca="true" t="shared" si="2" ref="Q14:Q41">(L14*$Q$10)+(M14*$Q$9)+(N14*$Q$8)+(O14*$Q$7)</f>
        <v>24465</v>
      </c>
      <c r="R14" s="101"/>
      <c r="S14" s="128">
        <f aca="true" t="shared" si="3" ref="S14:S41">Q14/J14</f>
        <v>0.226365739577504</v>
      </c>
      <c r="U14" s="116">
        <f aca="true" t="shared" si="4" ref="U14:U41">SUM(M14:O14)</f>
        <v>44900</v>
      </c>
      <c r="V14" s="128">
        <f aca="true" t="shared" si="5" ref="V14:V41">Q14/U14</f>
        <v>0.5448775055679287</v>
      </c>
      <c r="X14" s="134">
        <f aca="true" t="shared" si="6" ref="X14:X19">IF(J14-Q14&lt;0,0,J14-Q14)</f>
        <v>83612.30907363557</v>
      </c>
      <c r="Y14" s="75"/>
      <c r="AB14" s="128"/>
    </row>
    <row r="15" spans="2:28" ht="15.75" customHeight="1">
      <c r="B15" s="59">
        <v>2</v>
      </c>
      <c r="C15" s="60" t="s">
        <v>52</v>
      </c>
      <c r="D15" s="60"/>
      <c r="E15" s="72">
        <v>272789</v>
      </c>
      <c r="F15" s="73">
        <f t="shared" si="0"/>
        <v>280427.092</v>
      </c>
      <c r="G15" s="73">
        <f t="shared" si="0"/>
        <v>288279.050576</v>
      </c>
      <c r="H15" s="74">
        <f t="shared" si="0"/>
        <v>296350.863992128</v>
      </c>
      <c r="I15" s="74"/>
      <c r="J15" s="129">
        <f t="shared" si="1"/>
        <v>164639.36888451554</v>
      </c>
      <c r="K15" s="73"/>
      <c r="L15" s="72">
        <v>24486</v>
      </c>
      <c r="M15" s="72">
        <v>28040</v>
      </c>
      <c r="N15" s="63">
        <v>37190</v>
      </c>
      <c r="O15" s="63">
        <v>11940</v>
      </c>
      <c r="P15" s="66"/>
      <c r="Q15" s="101">
        <f t="shared" si="2"/>
        <v>42387</v>
      </c>
      <c r="R15" s="101"/>
      <c r="S15" s="128">
        <f t="shared" si="3"/>
        <v>0.2574536108051525</v>
      </c>
      <c r="U15" s="116">
        <f t="shared" si="4"/>
        <v>77170</v>
      </c>
      <c r="V15" s="128">
        <f t="shared" si="5"/>
        <v>0.5492678502008552</v>
      </c>
      <c r="X15" s="134">
        <f t="shared" si="6"/>
        <v>122252.36888451554</v>
      </c>
      <c r="Y15" s="75"/>
      <c r="AB15" s="128"/>
    </row>
    <row r="16" spans="2:28" ht="15.75" customHeight="1">
      <c r="B16" s="59">
        <v>3</v>
      </c>
      <c r="C16" s="60" t="s">
        <v>53</v>
      </c>
      <c r="D16" s="60"/>
      <c r="E16" s="72">
        <v>169112</v>
      </c>
      <c r="F16" s="73">
        <f t="shared" si="0"/>
        <v>173847.136</v>
      </c>
      <c r="G16" s="73">
        <f t="shared" si="0"/>
        <v>178714.855808</v>
      </c>
      <c r="H16" s="74">
        <f t="shared" si="0"/>
        <v>183718.87177062398</v>
      </c>
      <c r="I16" s="74"/>
      <c r="J16" s="129">
        <f t="shared" si="1"/>
        <v>102066.03987256887</v>
      </c>
      <c r="K16" s="73"/>
      <c r="L16" s="72">
        <v>27800</v>
      </c>
      <c r="M16" s="72">
        <v>29270</v>
      </c>
      <c r="N16" s="63">
        <v>38390</v>
      </c>
      <c r="O16" s="63">
        <v>15800</v>
      </c>
      <c r="P16" s="66"/>
      <c r="Q16" s="101">
        <f t="shared" si="2"/>
        <v>46947</v>
      </c>
      <c r="R16" s="101"/>
      <c r="S16" s="128">
        <f t="shared" si="3"/>
        <v>0.4599669004363655</v>
      </c>
      <c r="U16" s="116">
        <f t="shared" si="4"/>
        <v>83460</v>
      </c>
      <c r="V16" s="128">
        <f t="shared" si="5"/>
        <v>0.5625089863407621</v>
      </c>
      <c r="X16" s="134">
        <f t="shared" si="6"/>
        <v>55119.03987256887</v>
      </c>
      <c r="Y16" s="75"/>
      <c r="AB16" s="128"/>
    </row>
    <row r="17" spans="2:28" ht="15.75" customHeight="1">
      <c r="B17" s="59">
        <v>4</v>
      </c>
      <c r="C17" s="60" t="s">
        <v>54</v>
      </c>
      <c r="D17" s="60"/>
      <c r="E17" s="72">
        <v>853305</v>
      </c>
      <c r="F17" s="73">
        <f t="shared" si="0"/>
        <v>877197.54</v>
      </c>
      <c r="G17" s="73">
        <f t="shared" si="0"/>
        <v>901759.0711200001</v>
      </c>
      <c r="H17" s="74">
        <f t="shared" si="0"/>
        <v>927008.3251113602</v>
      </c>
      <c r="I17" s="74"/>
      <c r="J17" s="129">
        <f t="shared" si="1"/>
        <v>515004.62506186677</v>
      </c>
      <c r="K17" s="73"/>
      <c r="L17" s="72">
        <v>78024</v>
      </c>
      <c r="M17" s="72">
        <v>49020</v>
      </c>
      <c r="N17" s="63">
        <v>64300</v>
      </c>
      <c r="O17" s="63">
        <v>31940</v>
      </c>
      <c r="P17" s="66"/>
      <c r="Q17" s="101">
        <f t="shared" si="2"/>
        <v>83560</v>
      </c>
      <c r="R17" s="101"/>
      <c r="S17" s="128">
        <f t="shared" si="3"/>
        <v>0.16225097005674863</v>
      </c>
      <c r="U17" s="116">
        <f t="shared" si="4"/>
        <v>145260</v>
      </c>
      <c r="V17" s="128">
        <f t="shared" si="5"/>
        <v>0.5752443893707834</v>
      </c>
      <c r="X17" s="134">
        <f t="shared" si="6"/>
        <v>431444.62506186677</v>
      </c>
      <c r="Y17" s="75"/>
      <c r="AB17" s="128"/>
    </row>
    <row r="18" spans="2:28" ht="15.75" customHeight="1">
      <c r="B18" s="59">
        <v>5</v>
      </c>
      <c r="C18" s="60" t="s">
        <v>55</v>
      </c>
      <c r="D18" s="60"/>
      <c r="E18" s="72">
        <v>213779</v>
      </c>
      <c r="F18" s="73">
        <f t="shared" si="0"/>
        <v>219764.812</v>
      </c>
      <c r="G18" s="73">
        <f t="shared" si="0"/>
        <v>225918.226736</v>
      </c>
      <c r="H18" s="74">
        <f t="shared" si="0"/>
        <v>232243.937084608</v>
      </c>
      <c r="I18" s="74"/>
      <c r="J18" s="129">
        <f t="shared" si="1"/>
        <v>129024.4094914489</v>
      </c>
      <c r="K18" s="73"/>
      <c r="L18" s="72">
        <v>22316</v>
      </c>
      <c r="M18" s="72">
        <v>14400</v>
      </c>
      <c r="N18" s="63">
        <v>37390</v>
      </c>
      <c r="O18" s="63">
        <v>14200</v>
      </c>
      <c r="P18" s="66"/>
      <c r="Q18" s="101">
        <f t="shared" si="2"/>
        <v>41833</v>
      </c>
      <c r="R18" s="101"/>
      <c r="S18" s="128">
        <f t="shared" si="3"/>
        <v>0.32422547148159964</v>
      </c>
      <c r="U18" s="116">
        <f t="shared" si="4"/>
        <v>65990</v>
      </c>
      <c r="V18" s="128">
        <f t="shared" si="5"/>
        <v>0.6339293832398848</v>
      </c>
      <c r="X18" s="134">
        <f t="shared" si="6"/>
        <v>87191.4094914489</v>
      </c>
      <c r="Y18" s="75"/>
      <c r="AB18" s="128"/>
    </row>
    <row r="19" spans="2:28" ht="15.75" customHeight="1">
      <c r="B19" s="59">
        <v>6</v>
      </c>
      <c r="C19" s="60" t="s">
        <v>56</v>
      </c>
      <c r="D19" s="60"/>
      <c r="E19" s="72">
        <v>10445</v>
      </c>
      <c r="F19" s="73">
        <f t="shared" si="0"/>
        <v>10737.460000000001</v>
      </c>
      <c r="G19" s="73">
        <f t="shared" si="0"/>
        <v>11038.108880000002</v>
      </c>
      <c r="H19" s="74">
        <f t="shared" si="0"/>
        <v>11347.175928640001</v>
      </c>
      <c r="I19" s="74"/>
      <c r="J19" s="129">
        <f t="shared" si="1"/>
        <v>6303.986627022223</v>
      </c>
      <c r="K19" s="73"/>
      <c r="L19" s="72">
        <v>0</v>
      </c>
      <c r="M19" s="72">
        <v>500</v>
      </c>
      <c r="N19" s="63">
        <v>11000</v>
      </c>
      <c r="O19" s="63">
        <v>0</v>
      </c>
      <c r="P19" s="66"/>
      <c r="Q19" s="101">
        <f t="shared" si="2"/>
        <v>7799.999999999999</v>
      </c>
      <c r="R19" s="101"/>
      <c r="S19" s="128">
        <f t="shared" si="3"/>
        <v>1.2373122694399559</v>
      </c>
      <c r="U19" s="116">
        <f t="shared" si="4"/>
        <v>11500</v>
      </c>
      <c r="V19" s="128">
        <f t="shared" si="5"/>
        <v>0.6782608695652174</v>
      </c>
      <c r="X19" s="134">
        <f t="shared" si="6"/>
        <v>0</v>
      </c>
      <c r="Y19" s="75"/>
      <c r="AB19" s="128"/>
    </row>
    <row r="20" spans="2:28" ht="15.75" customHeight="1">
      <c r="B20" s="59">
        <v>7</v>
      </c>
      <c r="C20" s="60" t="s">
        <v>57</v>
      </c>
      <c r="D20" s="60"/>
      <c r="E20" s="72">
        <v>301868</v>
      </c>
      <c r="F20" s="73">
        <f t="shared" si="0"/>
        <v>310320.304</v>
      </c>
      <c r="G20" s="73">
        <f t="shared" si="0"/>
        <v>319009.272512</v>
      </c>
      <c r="H20" s="74">
        <f t="shared" si="0"/>
        <v>327941.532142336</v>
      </c>
      <c r="I20" s="74"/>
      <c r="J20" s="129">
        <f t="shared" si="1"/>
        <v>182189.74007907556</v>
      </c>
      <c r="K20" s="73"/>
      <c r="L20" s="72">
        <v>38150</v>
      </c>
      <c r="M20" s="72">
        <v>19950</v>
      </c>
      <c r="N20" s="63">
        <v>36870</v>
      </c>
      <c r="O20" s="63">
        <v>204000</v>
      </c>
      <c r="P20" s="66"/>
      <c r="Q20" s="101">
        <f t="shared" si="2"/>
        <v>213399</v>
      </c>
      <c r="R20" s="101"/>
      <c r="S20" s="128">
        <f t="shared" si="3"/>
        <v>1.1713008641835634</v>
      </c>
      <c r="U20" s="116">
        <f t="shared" si="4"/>
        <v>260820</v>
      </c>
      <c r="V20" s="128">
        <f t="shared" si="5"/>
        <v>0.8181849551414769</v>
      </c>
      <c r="X20" s="134">
        <f aca="true" t="shared" si="7" ref="X20:X41">IF(J20-Q20&lt;0,0,J20-Q20)</f>
        <v>0</v>
      </c>
      <c r="Y20" s="75"/>
      <c r="AB20" s="128"/>
    </row>
    <row r="21" spans="2:28" ht="15.75" customHeight="1">
      <c r="B21" s="59">
        <v>8</v>
      </c>
      <c r="C21" s="60" t="s">
        <v>58</v>
      </c>
      <c r="D21" s="60"/>
      <c r="E21" s="72">
        <v>340327</v>
      </c>
      <c r="F21" s="73">
        <f t="shared" si="0"/>
        <v>349856.156</v>
      </c>
      <c r="G21" s="73">
        <f t="shared" si="0"/>
        <v>359652.12836800003</v>
      </c>
      <c r="H21" s="74">
        <f t="shared" si="0"/>
        <v>369722.38796230406</v>
      </c>
      <c r="I21" s="74"/>
      <c r="J21" s="129">
        <f t="shared" si="1"/>
        <v>205401.32664572448</v>
      </c>
      <c r="K21" s="73"/>
      <c r="L21" s="72">
        <v>38550</v>
      </c>
      <c r="M21" s="72">
        <v>27550</v>
      </c>
      <c r="N21" s="63">
        <v>28400</v>
      </c>
      <c r="O21" s="63">
        <v>169000</v>
      </c>
      <c r="P21" s="66"/>
      <c r="Q21" s="101">
        <f t="shared" si="2"/>
        <v>177490</v>
      </c>
      <c r="R21" s="101"/>
      <c r="S21" s="128">
        <f t="shared" si="3"/>
        <v>0.8641132114308793</v>
      </c>
      <c r="U21" s="116">
        <f t="shared" si="4"/>
        <v>224950</v>
      </c>
      <c r="V21" s="128">
        <f t="shared" si="5"/>
        <v>0.7890197821738164</v>
      </c>
      <c r="X21" s="134">
        <f t="shared" si="7"/>
        <v>27911.326645724475</v>
      </c>
      <c r="Y21" s="75"/>
      <c r="AB21" s="128"/>
    </row>
    <row r="22" spans="2:28" ht="15.75" customHeight="1">
      <c r="B22" s="59">
        <v>9</v>
      </c>
      <c r="C22" s="60" t="s">
        <v>59</v>
      </c>
      <c r="D22" s="60"/>
      <c r="E22" s="72">
        <v>556678</v>
      </c>
      <c r="F22" s="73">
        <f t="shared" si="0"/>
        <v>572264.984</v>
      </c>
      <c r="G22" s="73">
        <f t="shared" si="0"/>
        <v>588288.4035520001</v>
      </c>
      <c r="H22" s="74">
        <f t="shared" si="0"/>
        <v>604760.4788514561</v>
      </c>
      <c r="I22" s="74"/>
      <c r="J22" s="129">
        <f t="shared" si="1"/>
        <v>335978.04380636447</v>
      </c>
      <c r="K22" s="73"/>
      <c r="L22" s="72">
        <v>43920</v>
      </c>
      <c r="M22" s="72">
        <v>25174</v>
      </c>
      <c r="N22" s="63">
        <v>47970</v>
      </c>
      <c r="O22" s="63">
        <v>12400</v>
      </c>
      <c r="P22" s="66"/>
      <c r="Q22" s="101">
        <f t="shared" si="2"/>
        <v>49773.8</v>
      </c>
      <c r="R22" s="101"/>
      <c r="S22" s="128">
        <f t="shared" si="3"/>
        <v>0.14814599024419087</v>
      </c>
      <c r="U22" s="116">
        <f t="shared" si="4"/>
        <v>85544</v>
      </c>
      <c r="V22" s="128">
        <f t="shared" si="5"/>
        <v>0.5818502758814178</v>
      </c>
      <c r="X22" s="134">
        <f t="shared" si="7"/>
        <v>286204.2438063645</v>
      </c>
      <c r="Y22" s="75"/>
      <c r="AB22" s="128"/>
    </row>
    <row r="23" spans="2:28" ht="15.75" customHeight="1">
      <c r="B23" s="59">
        <v>10</v>
      </c>
      <c r="C23" s="60" t="s">
        <v>60</v>
      </c>
      <c r="D23" s="60"/>
      <c r="E23" s="72">
        <v>224098</v>
      </c>
      <c r="F23" s="73">
        <f t="shared" si="0"/>
        <v>230372.744</v>
      </c>
      <c r="G23" s="73">
        <f t="shared" si="0"/>
        <v>236823.180832</v>
      </c>
      <c r="H23" s="74">
        <f t="shared" si="0"/>
        <v>243454.229895296</v>
      </c>
      <c r="I23" s="74"/>
      <c r="J23" s="129">
        <f t="shared" si="1"/>
        <v>135252.3499418311</v>
      </c>
      <c r="K23" s="73"/>
      <c r="L23" s="72">
        <v>43731</v>
      </c>
      <c r="M23" s="72">
        <v>18140</v>
      </c>
      <c r="N23" s="63">
        <v>22520</v>
      </c>
      <c r="O23" s="63">
        <v>7500</v>
      </c>
      <c r="P23" s="66"/>
      <c r="Q23" s="101">
        <f t="shared" si="2"/>
        <v>26142</v>
      </c>
      <c r="R23" s="101"/>
      <c r="S23" s="128">
        <f t="shared" si="3"/>
        <v>0.19328314821326997</v>
      </c>
      <c r="U23" s="116">
        <f t="shared" si="4"/>
        <v>48160</v>
      </c>
      <c r="V23" s="128">
        <f t="shared" si="5"/>
        <v>0.5428156146179401</v>
      </c>
      <c r="X23" s="134">
        <f t="shared" si="7"/>
        <v>109110.34994183111</v>
      </c>
      <c r="Y23" s="75"/>
      <c r="AB23" s="128"/>
    </row>
    <row r="24" spans="2:28" ht="15.75" customHeight="1">
      <c r="B24" s="59">
        <v>11</v>
      </c>
      <c r="C24" s="60" t="s">
        <v>61</v>
      </c>
      <c r="D24" s="60"/>
      <c r="E24" s="72">
        <v>616085</v>
      </c>
      <c r="F24" s="73">
        <f t="shared" si="0"/>
        <v>633335.38</v>
      </c>
      <c r="G24" s="73">
        <f t="shared" si="0"/>
        <v>651068.77064</v>
      </c>
      <c r="H24" s="74">
        <f t="shared" si="0"/>
        <v>669298.69621792</v>
      </c>
      <c r="I24" s="74"/>
      <c r="J24" s="129">
        <f t="shared" si="1"/>
        <v>371832.6090099556</v>
      </c>
      <c r="K24" s="73"/>
      <c r="L24" s="72">
        <v>36150</v>
      </c>
      <c r="M24" s="72">
        <v>35730</v>
      </c>
      <c r="N24" s="63">
        <v>49420</v>
      </c>
      <c r="O24" s="63">
        <v>20240</v>
      </c>
      <c r="P24" s="66"/>
      <c r="Q24" s="101">
        <f t="shared" si="2"/>
        <v>59956</v>
      </c>
      <c r="R24" s="101"/>
      <c r="S24" s="128">
        <f t="shared" si="3"/>
        <v>0.16124459917498712</v>
      </c>
      <c r="U24" s="116">
        <f t="shared" si="4"/>
        <v>105390</v>
      </c>
      <c r="V24" s="128">
        <f t="shared" si="5"/>
        <v>0.568896479741911</v>
      </c>
      <c r="X24" s="134">
        <f t="shared" si="7"/>
        <v>311876.6090099556</v>
      </c>
      <c r="Y24" s="75"/>
      <c r="AB24" s="128"/>
    </row>
    <row r="25" spans="2:28" ht="15.75" customHeight="1">
      <c r="B25" s="59">
        <v>12</v>
      </c>
      <c r="C25" s="60" t="s">
        <v>62</v>
      </c>
      <c r="D25" s="60"/>
      <c r="E25" s="72">
        <v>456558</v>
      </c>
      <c r="F25" s="73">
        <f t="shared" si="0"/>
        <v>469341.624</v>
      </c>
      <c r="G25" s="73">
        <f t="shared" si="0"/>
        <v>482483.189472</v>
      </c>
      <c r="H25" s="74">
        <f t="shared" si="0"/>
        <v>495992.718777216</v>
      </c>
      <c r="I25" s="74"/>
      <c r="J25" s="129">
        <f t="shared" si="1"/>
        <v>275551.51043178665</v>
      </c>
      <c r="K25" s="73"/>
      <c r="L25" s="72">
        <v>46348</v>
      </c>
      <c r="M25" s="72">
        <v>24360</v>
      </c>
      <c r="N25" s="63">
        <v>35670</v>
      </c>
      <c r="O25" s="63">
        <v>8600</v>
      </c>
      <c r="P25" s="66"/>
      <c r="Q25" s="101">
        <f t="shared" si="2"/>
        <v>37581</v>
      </c>
      <c r="R25" s="101"/>
      <c r="S25" s="128">
        <f t="shared" si="3"/>
        <v>0.1363846634014487</v>
      </c>
      <c r="U25" s="116">
        <f t="shared" si="4"/>
        <v>68630</v>
      </c>
      <c r="V25" s="128">
        <f t="shared" si="5"/>
        <v>0.5475885181407548</v>
      </c>
      <c r="X25" s="134">
        <f t="shared" si="7"/>
        <v>237970.51043178665</v>
      </c>
      <c r="Y25" s="75"/>
      <c r="AB25" s="128"/>
    </row>
    <row r="26" spans="2:28" ht="15.75" customHeight="1">
      <c r="B26" s="59">
        <v>13</v>
      </c>
      <c r="C26" s="60" t="s">
        <v>63</v>
      </c>
      <c r="D26" s="60"/>
      <c r="E26" s="72">
        <f>1228146+669021</f>
        <v>1897167</v>
      </c>
      <c r="F26" s="73">
        <f t="shared" si="0"/>
        <v>1950287.676</v>
      </c>
      <c r="G26" s="73">
        <f t="shared" si="0"/>
        <v>2004895.730928</v>
      </c>
      <c r="H26" s="74">
        <f t="shared" si="0"/>
        <v>2061032.8113939841</v>
      </c>
      <c r="I26" s="74"/>
      <c r="J26" s="129">
        <f t="shared" si="1"/>
        <v>1145018.2285522134</v>
      </c>
      <c r="K26" s="73"/>
      <c r="L26" s="72">
        <v>120162</v>
      </c>
      <c r="M26" s="72">
        <v>73016</v>
      </c>
      <c r="N26" s="63">
        <v>60820</v>
      </c>
      <c r="O26" s="63">
        <v>28010</v>
      </c>
      <c r="P26" s="66"/>
      <c r="Q26" s="101">
        <f t="shared" si="2"/>
        <v>82386.2</v>
      </c>
      <c r="R26" s="101"/>
      <c r="S26" s="128">
        <f t="shared" si="3"/>
        <v>0.07195186761713912</v>
      </c>
      <c r="U26" s="116">
        <f t="shared" si="4"/>
        <v>161846</v>
      </c>
      <c r="V26" s="128">
        <f t="shared" si="5"/>
        <v>0.509040693004461</v>
      </c>
      <c r="X26" s="134">
        <f t="shared" si="7"/>
        <v>1062632.0285522135</v>
      </c>
      <c r="Y26" s="75"/>
      <c r="AB26" s="128"/>
    </row>
    <row r="27" spans="2:28" ht="15.75" customHeight="1">
      <c r="B27" s="64">
        <v>14</v>
      </c>
      <c r="C27" s="62" t="s">
        <v>64</v>
      </c>
      <c r="D27" s="97"/>
      <c r="E27" s="72">
        <v>623789</v>
      </c>
      <c r="F27" s="73">
        <f t="shared" si="0"/>
        <v>641255.0920000001</v>
      </c>
      <c r="G27" s="73">
        <f t="shared" si="0"/>
        <v>659210.2345760001</v>
      </c>
      <c r="H27" s="74">
        <f t="shared" si="0"/>
        <v>677668.1211441281</v>
      </c>
      <c r="I27" s="74"/>
      <c r="J27" s="129">
        <f t="shared" si="1"/>
        <v>376482.2895245156</v>
      </c>
      <c r="K27" s="73"/>
      <c r="L27" s="72">
        <v>37320</v>
      </c>
      <c r="M27" s="72">
        <v>40659</v>
      </c>
      <c r="N27" s="63">
        <v>52500</v>
      </c>
      <c r="O27" s="63">
        <v>18500</v>
      </c>
      <c r="P27" s="66"/>
      <c r="Q27" s="101">
        <f t="shared" si="2"/>
        <v>61531.8</v>
      </c>
      <c r="R27" s="101"/>
      <c r="S27" s="128">
        <f t="shared" si="3"/>
        <v>0.163438763819973</v>
      </c>
      <c r="U27" s="116">
        <f t="shared" si="4"/>
        <v>111659</v>
      </c>
      <c r="V27" s="128">
        <f t="shared" si="5"/>
        <v>0.5510688793558961</v>
      </c>
      <c r="X27" s="134">
        <f t="shared" si="7"/>
        <v>314950.48952451564</v>
      </c>
      <c r="Y27" s="75"/>
      <c r="AB27" s="128"/>
    </row>
    <row r="28" spans="2:28" ht="15.75" customHeight="1">
      <c r="B28" s="64">
        <v>15</v>
      </c>
      <c r="C28" s="105" t="s">
        <v>65</v>
      </c>
      <c r="D28" s="105"/>
      <c r="E28" s="106">
        <v>474464</v>
      </c>
      <c r="F28" s="107">
        <f t="shared" si="0"/>
        <v>487748.992</v>
      </c>
      <c r="G28" s="107">
        <f t="shared" si="0"/>
        <v>501405.963776</v>
      </c>
      <c r="H28" s="106">
        <f t="shared" si="0"/>
        <v>515445.33076172805</v>
      </c>
      <c r="I28" s="106"/>
      <c r="J28" s="130">
        <f t="shared" si="1"/>
        <v>286358.51708984893</v>
      </c>
      <c r="K28" s="107"/>
      <c r="L28" s="106">
        <v>47680</v>
      </c>
      <c r="M28" s="106">
        <v>37570</v>
      </c>
      <c r="N28" s="108">
        <v>45640</v>
      </c>
      <c r="O28" s="108">
        <v>20480</v>
      </c>
      <c r="P28" s="109"/>
      <c r="Q28" s="110">
        <f t="shared" si="2"/>
        <v>57894</v>
      </c>
      <c r="R28" s="110"/>
      <c r="S28" s="140">
        <f t="shared" si="3"/>
        <v>0.20217313802416068</v>
      </c>
      <c r="T28" s="111"/>
      <c r="U28" s="141">
        <f t="shared" si="4"/>
        <v>103690</v>
      </c>
      <c r="V28" s="140">
        <f t="shared" si="5"/>
        <v>0.5583373517214775</v>
      </c>
      <c r="W28" s="111"/>
      <c r="X28" s="135">
        <f t="shared" si="7"/>
        <v>228464.51708984893</v>
      </c>
      <c r="Y28" s="76"/>
      <c r="AB28" s="128"/>
    </row>
    <row r="29" spans="2:28" ht="15.75" customHeight="1">
      <c r="B29" s="59">
        <v>16</v>
      </c>
      <c r="C29" s="60" t="s">
        <v>66</v>
      </c>
      <c r="D29" s="60"/>
      <c r="E29" s="72">
        <v>316748</v>
      </c>
      <c r="F29" s="73">
        <f t="shared" si="0"/>
        <v>325616.944</v>
      </c>
      <c r="G29" s="73">
        <f t="shared" si="0"/>
        <v>334734.218432</v>
      </c>
      <c r="H29" s="74">
        <f t="shared" si="0"/>
        <v>344106.77654809604</v>
      </c>
      <c r="I29" s="74"/>
      <c r="J29" s="129">
        <f t="shared" si="1"/>
        <v>191170.4314156089</v>
      </c>
      <c r="K29" s="73"/>
      <c r="L29" s="72">
        <v>37950</v>
      </c>
      <c r="M29" s="72">
        <v>21050</v>
      </c>
      <c r="N29" s="63">
        <v>29560</v>
      </c>
      <c r="O29" s="63">
        <v>14020</v>
      </c>
      <c r="P29" s="66"/>
      <c r="Q29" s="101">
        <f t="shared" si="2"/>
        <v>37520</v>
      </c>
      <c r="R29" s="101"/>
      <c r="S29" s="128">
        <f t="shared" si="3"/>
        <v>0.19626466144458637</v>
      </c>
      <c r="U29" s="116">
        <f t="shared" si="4"/>
        <v>64630</v>
      </c>
      <c r="V29" s="128">
        <f t="shared" si="5"/>
        <v>0.5805353550982516</v>
      </c>
      <c r="X29" s="134">
        <f t="shared" si="7"/>
        <v>153650.4314156089</v>
      </c>
      <c r="Y29" s="75"/>
      <c r="AB29" s="128"/>
    </row>
    <row r="30" spans="2:28" ht="15.75" customHeight="1">
      <c r="B30" s="59">
        <v>17</v>
      </c>
      <c r="C30" s="60" t="s">
        <v>67</v>
      </c>
      <c r="D30" s="60"/>
      <c r="E30" s="72">
        <v>803602</v>
      </c>
      <c r="F30" s="73">
        <f t="shared" si="0"/>
        <v>826102.856</v>
      </c>
      <c r="G30" s="73">
        <f t="shared" si="0"/>
        <v>849233.735968</v>
      </c>
      <c r="H30" s="74">
        <f t="shared" si="0"/>
        <v>873012.280575104</v>
      </c>
      <c r="I30" s="74"/>
      <c r="J30" s="129">
        <f t="shared" si="1"/>
        <v>485006.8225417245</v>
      </c>
      <c r="K30" s="73"/>
      <c r="L30" s="72">
        <v>76674</v>
      </c>
      <c r="M30" s="72">
        <v>56200</v>
      </c>
      <c r="N30" s="63">
        <v>73150</v>
      </c>
      <c r="O30" s="63">
        <v>22900</v>
      </c>
      <c r="P30" s="66"/>
      <c r="Q30" s="101">
        <f t="shared" si="2"/>
        <v>83055</v>
      </c>
      <c r="R30" s="101"/>
      <c r="S30" s="128">
        <f t="shared" si="3"/>
        <v>0.1712450137603062</v>
      </c>
      <c r="U30" s="116">
        <f t="shared" si="4"/>
        <v>152250</v>
      </c>
      <c r="V30" s="128">
        <f t="shared" si="5"/>
        <v>0.5455172413793103</v>
      </c>
      <c r="X30" s="134">
        <f t="shared" si="7"/>
        <v>401951.8225417245</v>
      </c>
      <c r="Y30" s="75"/>
      <c r="AB30" s="128"/>
    </row>
    <row r="31" spans="2:28" ht="15.75" customHeight="1">
      <c r="B31" s="59">
        <v>18</v>
      </c>
      <c r="C31" s="60" t="s">
        <v>68</v>
      </c>
      <c r="D31" s="60"/>
      <c r="E31" s="72">
        <v>488996</v>
      </c>
      <c r="F31" s="73">
        <f t="shared" si="0"/>
        <v>502687.88800000004</v>
      </c>
      <c r="G31" s="73">
        <f t="shared" si="0"/>
        <v>516763.14886400005</v>
      </c>
      <c r="H31" s="74">
        <f t="shared" si="0"/>
        <v>531232.5170321921</v>
      </c>
      <c r="I31" s="74"/>
      <c r="J31" s="129">
        <f t="shared" si="1"/>
        <v>295129.1761289956</v>
      </c>
      <c r="K31" s="73"/>
      <c r="L31" s="72">
        <v>38700</v>
      </c>
      <c r="M31" s="72">
        <v>36180</v>
      </c>
      <c r="N31" s="63">
        <v>42600</v>
      </c>
      <c r="O31" s="63">
        <v>13700</v>
      </c>
      <c r="P31" s="66"/>
      <c r="Q31" s="101">
        <f t="shared" si="2"/>
        <v>49386</v>
      </c>
      <c r="R31" s="101"/>
      <c r="S31" s="128">
        <f t="shared" si="3"/>
        <v>0.16733689514456637</v>
      </c>
      <c r="U31" s="116">
        <f t="shared" si="4"/>
        <v>92480</v>
      </c>
      <c r="V31" s="128">
        <f t="shared" si="5"/>
        <v>0.5340181660899654</v>
      </c>
      <c r="X31" s="134">
        <f t="shared" si="7"/>
        <v>245743.1761289956</v>
      </c>
      <c r="Y31" s="75"/>
      <c r="AB31" s="128"/>
    </row>
    <row r="32" spans="2:28" ht="15.75" customHeight="1">
      <c r="B32" s="59">
        <v>19</v>
      </c>
      <c r="C32" s="60" t="s">
        <v>69</v>
      </c>
      <c r="D32" s="60"/>
      <c r="E32" s="72">
        <f>583167+87366</f>
        <v>670533</v>
      </c>
      <c r="F32" s="73">
        <f t="shared" si="0"/>
        <v>689307.924</v>
      </c>
      <c r="G32" s="73">
        <f t="shared" si="0"/>
        <v>708608.545872</v>
      </c>
      <c r="H32" s="74">
        <f t="shared" si="0"/>
        <v>728449.585156416</v>
      </c>
      <c r="I32" s="74"/>
      <c r="J32" s="129">
        <f t="shared" si="1"/>
        <v>404694.2139757867</v>
      </c>
      <c r="K32" s="73"/>
      <c r="L32" s="72">
        <v>100800</v>
      </c>
      <c r="M32" s="72">
        <v>56200</v>
      </c>
      <c r="N32" s="63">
        <v>57950</v>
      </c>
      <c r="O32" s="63">
        <v>18440</v>
      </c>
      <c r="P32" s="66"/>
      <c r="Q32" s="101">
        <f t="shared" si="2"/>
        <v>68401</v>
      </c>
      <c r="R32" s="101"/>
      <c r="S32" s="128">
        <f t="shared" si="3"/>
        <v>0.16901897194925675</v>
      </c>
      <c r="U32" s="116">
        <f t="shared" si="4"/>
        <v>132590</v>
      </c>
      <c r="V32" s="128">
        <f t="shared" si="5"/>
        <v>0.5158835507956859</v>
      </c>
      <c r="X32" s="134">
        <f t="shared" si="7"/>
        <v>336293.2139757867</v>
      </c>
      <c r="Y32" s="75"/>
      <c r="AB32" s="128"/>
    </row>
    <row r="33" spans="2:28" ht="15.75" customHeight="1">
      <c r="B33" s="59">
        <v>20</v>
      </c>
      <c r="C33" s="60" t="s">
        <v>70</v>
      </c>
      <c r="D33" s="60"/>
      <c r="E33" s="72">
        <v>313227</v>
      </c>
      <c r="F33" s="73">
        <f t="shared" si="0"/>
        <v>321997.356</v>
      </c>
      <c r="G33" s="73">
        <f t="shared" si="0"/>
        <v>331013.28196800005</v>
      </c>
      <c r="H33" s="74">
        <f t="shared" si="0"/>
        <v>340281.65386310406</v>
      </c>
      <c r="I33" s="74"/>
      <c r="J33" s="129">
        <f t="shared" si="1"/>
        <v>189045.36325728003</v>
      </c>
      <c r="K33" s="73"/>
      <c r="L33" s="72">
        <v>36900</v>
      </c>
      <c r="M33" s="72">
        <v>21800</v>
      </c>
      <c r="N33" s="63">
        <v>37000</v>
      </c>
      <c r="O33" s="63">
        <v>116780</v>
      </c>
      <c r="P33" s="66"/>
      <c r="Q33" s="101">
        <f t="shared" si="2"/>
        <v>135362</v>
      </c>
      <c r="R33" s="101"/>
      <c r="S33" s="128">
        <f t="shared" si="3"/>
        <v>0.7160291988530816</v>
      </c>
      <c r="U33" s="116">
        <f t="shared" si="4"/>
        <v>175580</v>
      </c>
      <c r="V33" s="128">
        <f t="shared" si="5"/>
        <v>0.7709420207312906</v>
      </c>
      <c r="X33" s="134">
        <f t="shared" si="7"/>
        <v>53683.36325728003</v>
      </c>
      <c r="Y33" s="75"/>
      <c r="AB33" s="128"/>
    </row>
    <row r="34" spans="2:28" ht="15.75" customHeight="1">
      <c r="B34" s="59">
        <v>21</v>
      </c>
      <c r="C34" s="60" t="s">
        <v>71</v>
      </c>
      <c r="D34" s="60"/>
      <c r="E34" s="72">
        <v>525429</v>
      </c>
      <c r="F34" s="73">
        <f t="shared" si="0"/>
        <v>540141.012</v>
      </c>
      <c r="G34" s="73">
        <f t="shared" si="0"/>
        <v>555264.960336</v>
      </c>
      <c r="H34" s="74">
        <f t="shared" si="0"/>
        <v>570812.379225408</v>
      </c>
      <c r="I34" s="74"/>
      <c r="J34" s="129">
        <f t="shared" si="1"/>
        <v>317117.98845855996</v>
      </c>
      <c r="K34" s="73"/>
      <c r="L34" s="72">
        <v>57647</v>
      </c>
      <c r="M34" s="72">
        <v>42800</v>
      </c>
      <c r="N34" s="63">
        <v>48200</v>
      </c>
      <c r="O34" s="63">
        <v>14700</v>
      </c>
      <c r="P34" s="66"/>
      <c r="Q34" s="101">
        <f t="shared" si="2"/>
        <v>55530</v>
      </c>
      <c r="R34" s="101"/>
      <c r="S34" s="128">
        <f t="shared" si="3"/>
        <v>0.17510832567373105</v>
      </c>
      <c r="U34" s="116">
        <f t="shared" si="4"/>
        <v>105700</v>
      </c>
      <c r="V34" s="128">
        <f t="shared" si="5"/>
        <v>0.5253547776726585</v>
      </c>
      <c r="X34" s="134">
        <f t="shared" si="7"/>
        <v>261587.98845855996</v>
      </c>
      <c r="Y34" s="75"/>
      <c r="AB34" s="128"/>
    </row>
    <row r="35" spans="2:28" ht="15.75" customHeight="1">
      <c r="B35" s="59">
        <v>22</v>
      </c>
      <c r="C35" s="60" t="s">
        <v>72</v>
      </c>
      <c r="D35" s="60"/>
      <c r="E35" s="72">
        <v>587455</v>
      </c>
      <c r="F35" s="73">
        <f t="shared" si="0"/>
        <v>603903.74</v>
      </c>
      <c r="G35" s="73">
        <f t="shared" si="0"/>
        <v>620813.04472</v>
      </c>
      <c r="H35" s="74">
        <f t="shared" si="0"/>
        <v>638195.80997216</v>
      </c>
      <c r="I35" s="74"/>
      <c r="J35" s="129">
        <f t="shared" si="1"/>
        <v>354553.2277623111</v>
      </c>
      <c r="K35" s="73"/>
      <c r="L35" s="72">
        <v>69565</v>
      </c>
      <c r="M35" s="72">
        <v>50150</v>
      </c>
      <c r="N35" s="63">
        <v>72350</v>
      </c>
      <c r="O35" s="63">
        <v>20000</v>
      </c>
      <c r="P35" s="66"/>
      <c r="Q35" s="101">
        <f t="shared" si="2"/>
        <v>78675</v>
      </c>
      <c r="R35" s="101"/>
      <c r="S35" s="128">
        <f t="shared" si="3"/>
        <v>0.22189898113899817</v>
      </c>
      <c r="U35" s="116">
        <f t="shared" si="4"/>
        <v>142500</v>
      </c>
      <c r="V35" s="128">
        <f t="shared" si="5"/>
        <v>0.5521052631578948</v>
      </c>
      <c r="X35" s="134">
        <f t="shared" si="7"/>
        <v>275878.2277623111</v>
      </c>
      <c r="Y35" s="75"/>
      <c r="AB35" s="128"/>
    </row>
    <row r="36" spans="2:28" ht="15.75" customHeight="1">
      <c r="B36" s="59">
        <v>23</v>
      </c>
      <c r="C36" s="60" t="s">
        <v>73</v>
      </c>
      <c r="D36" s="60"/>
      <c r="E36" s="72">
        <f>338047+661444</f>
        <v>999491</v>
      </c>
      <c r="F36" s="73">
        <f t="shared" si="0"/>
        <v>1027476.748</v>
      </c>
      <c r="G36" s="73">
        <f t="shared" si="0"/>
        <v>1056246.096944</v>
      </c>
      <c r="H36" s="74">
        <f t="shared" si="0"/>
        <v>1085820.9876584322</v>
      </c>
      <c r="I36" s="74"/>
      <c r="J36" s="129">
        <f t="shared" si="1"/>
        <v>603233.8820324623</v>
      </c>
      <c r="K36" s="73"/>
      <c r="L36" s="72">
        <v>121499</v>
      </c>
      <c r="M36" s="72">
        <v>91151</v>
      </c>
      <c r="N36" s="63">
        <v>55400</v>
      </c>
      <c r="O36" s="63">
        <v>15600</v>
      </c>
      <c r="P36" s="66"/>
      <c r="Q36" s="101">
        <f t="shared" si="2"/>
        <v>71050.2</v>
      </c>
      <c r="R36" s="101"/>
      <c r="S36" s="128">
        <f t="shared" si="3"/>
        <v>0.1177821772222279</v>
      </c>
      <c r="U36" s="116">
        <f t="shared" si="4"/>
        <v>162151</v>
      </c>
      <c r="V36" s="128">
        <f t="shared" si="5"/>
        <v>0.43817306091235947</v>
      </c>
      <c r="X36" s="134">
        <f t="shared" si="7"/>
        <v>532183.6820324623</v>
      </c>
      <c r="Y36" s="75"/>
      <c r="AB36" s="128"/>
    </row>
    <row r="37" spans="2:28" ht="15.75" customHeight="1">
      <c r="B37" s="59">
        <v>24</v>
      </c>
      <c r="C37" s="60" t="s">
        <v>74</v>
      </c>
      <c r="D37" s="60"/>
      <c r="E37" s="72">
        <v>290496</v>
      </c>
      <c r="F37" s="73">
        <f t="shared" si="0"/>
        <v>298629.88800000004</v>
      </c>
      <c r="G37" s="73">
        <f t="shared" si="0"/>
        <v>306991.52486400004</v>
      </c>
      <c r="H37" s="74">
        <f t="shared" si="0"/>
        <v>315587.28756019205</v>
      </c>
      <c r="I37" s="74"/>
      <c r="J37" s="129">
        <f t="shared" si="1"/>
        <v>175326.27086677335</v>
      </c>
      <c r="K37" s="73"/>
      <c r="L37" s="72">
        <v>37300</v>
      </c>
      <c r="M37" s="72">
        <v>23400</v>
      </c>
      <c r="N37" s="63">
        <v>28365</v>
      </c>
      <c r="O37" s="63">
        <v>8800</v>
      </c>
      <c r="P37" s="66"/>
      <c r="Q37" s="101">
        <f t="shared" si="2"/>
        <v>32455.5</v>
      </c>
      <c r="R37" s="101"/>
      <c r="S37" s="128">
        <f t="shared" si="3"/>
        <v>0.18511487091778867</v>
      </c>
      <c r="U37" s="116">
        <f t="shared" si="4"/>
        <v>60565</v>
      </c>
      <c r="V37" s="128">
        <f t="shared" si="5"/>
        <v>0.5358788078923471</v>
      </c>
      <c r="X37" s="134">
        <f t="shared" si="7"/>
        <v>142870.77086677335</v>
      </c>
      <c r="Y37" s="75"/>
      <c r="AB37" s="128"/>
    </row>
    <row r="38" spans="2:28" ht="15.75" customHeight="1">
      <c r="B38" s="59">
        <v>25</v>
      </c>
      <c r="C38" s="60" t="s">
        <v>75</v>
      </c>
      <c r="D38" s="60"/>
      <c r="E38" s="72">
        <v>94476</v>
      </c>
      <c r="F38" s="73">
        <f t="shared" si="0"/>
        <v>97121.32800000001</v>
      </c>
      <c r="G38" s="73">
        <f t="shared" si="0"/>
        <v>99840.72518400001</v>
      </c>
      <c r="H38" s="74">
        <f t="shared" si="0"/>
        <v>102636.265489152</v>
      </c>
      <c r="I38" s="74"/>
      <c r="J38" s="129">
        <f t="shared" si="1"/>
        <v>57020.14749397334</v>
      </c>
      <c r="K38" s="73"/>
      <c r="L38" s="72">
        <v>43450</v>
      </c>
      <c r="M38" s="72">
        <v>15650</v>
      </c>
      <c r="N38" s="63">
        <v>55480</v>
      </c>
      <c r="O38" s="63">
        <v>700</v>
      </c>
      <c r="P38" s="66"/>
      <c r="Q38" s="101">
        <f t="shared" si="2"/>
        <v>42596</v>
      </c>
      <c r="R38" s="101"/>
      <c r="S38" s="128">
        <f t="shared" si="3"/>
        <v>0.7470341953167013</v>
      </c>
      <c r="U38" s="116">
        <f t="shared" si="4"/>
        <v>71830</v>
      </c>
      <c r="V38" s="128">
        <f t="shared" si="5"/>
        <v>0.5930112766253655</v>
      </c>
      <c r="X38" s="134">
        <f t="shared" si="7"/>
        <v>14424.147493973338</v>
      </c>
      <c r="Y38" s="75"/>
      <c r="AB38" s="128"/>
    </row>
    <row r="39" spans="2:28" ht="15.75" customHeight="1">
      <c r="B39" s="59">
        <v>26</v>
      </c>
      <c r="C39" s="60" t="s">
        <v>76</v>
      </c>
      <c r="D39" s="60"/>
      <c r="E39" s="72">
        <v>108897</v>
      </c>
      <c r="F39" s="73">
        <f t="shared" si="0"/>
        <v>111946.11600000001</v>
      </c>
      <c r="G39" s="73">
        <f t="shared" si="0"/>
        <v>115080.60724800001</v>
      </c>
      <c r="H39" s="74">
        <f t="shared" si="0"/>
        <v>118302.86425094403</v>
      </c>
      <c r="I39" s="74"/>
      <c r="J39" s="129">
        <f t="shared" si="1"/>
        <v>65723.81347274668</v>
      </c>
      <c r="K39" s="73"/>
      <c r="L39" s="72">
        <v>0</v>
      </c>
      <c r="M39" s="72">
        <v>0</v>
      </c>
      <c r="N39" s="63">
        <v>65000</v>
      </c>
      <c r="O39" s="63">
        <v>1160</v>
      </c>
      <c r="P39" s="66"/>
      <c r="Q39" s="101">
        <f t="shared" si="2"/>
        <v>46544</v>
      </c>
      <c r="R39" s="101"/>
      <c r="S39" s="128">
        <f t="shared" si="3"/>
        <v>0.7081755841708749</v>
      </c>
      <c r="U39" s="116">
        <f t="shared" si="4"/>
        <v>66160</v>
      </c>
      <c r="V39" s="128">
        <f t="shared" si="5"/>
        <v>0.7035066505441354</v>
      </c>
      <c r="X39" s="134">
        <f t="shared" si="7"/>
        <v>19179.813472746682</v>
      </c>
      <c r="Y39" s="75"/>
      <c r="AB39" s="128"/>
    </row>
    <row r="40" spans="2:28" ht="15.75" customHeight="1">
      <c r="B40" s="59">
        <v>27</v>
      </c>
      <c r="C40" s="60" t="s">
        <v>77</v>
      </c>
      <c r="D40" s="60"/>
      <c r="E40" s="72">
        <v>438895</v>
      </c>
      <c r="F40" s="73">
        <f t="shared" si="0"/>
        <v>451184.06</v>
      </c>
      <c r="G40" s="73">
        <f t="shared" si="0"/>
        <v>463817.21368</v>
      </c>
      <c r="H40" s="74">
        <f t="shared" si="0"/>
        <v>476804.09566304</v>
      </c>
      <c r="I40" s="74"/>
      <c r="J40" s="129">
        <f t="shared" si="1"/>
        <v>264891.16425724444</v>
      </c>
      <c r="K40" s="73"/>
      <c r="L40" s="72">
        <v>65450</v>
      </c>
      <c r="M40" s="72">
        <v>34030</v>
      </c>
      <c r="N40" s="63">
        <v>39250</v>
      </c>
      <c r="O40" s="63">
        <v>11200</v>
      </c>
      <c r="P40" s="66"/>
      <c r="Q40" s="101">
        <f t="shared" si="2"/>
        <v>44361</v>
      </c>
      <c r="R40" s="101"/>
      <c r="S40" s="128">
        <f t="shared" si="3"/>
        <v>0.16746877958118522</v>
      </c>
      <c r="U40" s="116">
        <f t="shared" si="4"/>
        <v>84480</v>
      </c>
      <c r="V40" s="128">
        <f t="shared" si="5"/>
        <v>0.5251065340909091</v>
      </c>
      <c r="X40" s="134">
        <f t="shared" si="7"/>
        <v>220530.16425724444</v>
      </c>
      <c r="Y40" s="75"/>
      <c r="AB40" s="128"/>
    </row>
    <row r="41" spans="2:28" ht="15.75" customHeight="1">
      <c r="B41" s="59">
        <v>28</v>
      </c>
      <c r="C41" s="60" t="s">
        <v>78</v>
      </c>
      <c r="D41" s="60"/>
      <c r="E41" s="72">
        <v>238089</v>
      </c>
      <c r="F41" s="73">
        <f t="shared" si="0"/>
        <v>244755.492</v>
      </c>
      <c r="G41" s="73">
        <f t="shared" si="0"/>
        <v>251608.645776</v>
      </c>
      <c r="H41" s="74">
        <f t="shared" si="0"/>
        <v>258653.687857728</v>
      </c>
      <c r="I41" s="74"/>
      <c r="J41" s="129">
        <f t="shared" si="1"/>
        <v>143696.4932542933</v>
      </c>
      <c r="K41" s="73"/>
      <c r="L41" s="72">
        <v>48603</v>
      </c>
      <c r="M41" s="72">
        <v>18488</v>
      </c>
      <c r="N41" s="63">
        <v>29440</v>
      </c>
      <c r="O41" s="63">
        <v>10580</v>
      </c>
      <c r="P41" s="66"/>
      <c r="Q41" s="101">
        <f t="shared" si="2"/>
        <v>33827.6</v>
      </c>
      <c r="R41" s="101"/>
      <c r="S41" s="128">
        <f t="shared" si="3"/>
        <v>0.23541005931255954</v>
      </c>
      <c r="U41" s="116">
        <f t="shared" si="4"/>
        <v>58508</v>
      </c>
      <c r="V41" s="128">
        <f t="shared" si="5"/>
        <v>0.5781705065973883</v>
      </c>
      <c r="X41" s="134">
        <f t="shared" si="7"/>
        <v>109868.8932542933</v>
      </c>
      <c r="Y41" s="75"/>
      <c r="AB41" s="128"/>
    </row>
    <row r="42" spans="2:50" s="77" customFormat="1" ht="15.75" customHeight="1">
      <c r="B42" s="64"/>
      <c r="C42" s="62"/>
      <c r="D42" s="62"/>
      <c r="E42" s="74"/>
      <c r="F42" s="73"/>
      <c r="G42" s="73"/>
      <c r="H42" s="74"/>
      <c r="I42" s="74"/>
      <c r="J42" s="73"/>
      <c r="K42" s="73"/>
      <c r="L42" s="74"/>
      <c r="M42" s="74"/>
      <c r="N42" s="65"/>
      <c r="O42" s="66"/>
      <c r="P42" s="66"/>
      <c r="Q42" s="56"/>
      <c r="R42" s="56"/>
      <c r="S42" s="84"/>
      <c r="U42" s="84"/>
      <c r="V42" s="84"/>
      <c r="AB42" s="84"/>
      <c r="AC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</row>
    <row r="43" spans="2:25" ht="15.75" thickBot="1">
      <c r="B43" s="59"/>
      <c r="C43" s="59" t="s">
        <v>79</v>
      </c>
      <c r="D43" s="59"/>
      <c r="E43" s="78">
        <f>SUM(E14:E41)</f>
        <v>13065870</v>
      </c>
      <c r="F43" s="78">
        <f>SUM(F14:F41)</f>
        <v>13431714.360000003</v>
      </c>
      <c r="G43" s="78">
        <f>F43*1.028</f>
        <v>13807802.362080004</v>
      </c>
      <c r="H43" s="96">
        <f>G43*1.028</f>
        <v>14194420.828218244</v>
      </c>
      <c r="I43" s="79"/>
      <c r="J43" s="96">
        <f>SUM(J14:J41)</f>
        <v>7885789.349010133</v>
      </c>
      <c r="K43" s="74"/>
      <c r="L43" s="78">
        <f>SUM(L14:L41)</f>
        <v>1355765</v>
      </c>
      <c r="M43" s="78">
        <f>SUM(M14:M41)</f>
        <v>907448</v>
      </c>
      <c r="N43" s="78">
        <f>SUM(N14:N41)</f>
        <v>1222155</v>
      </c>
      <c r="O43" s="78">
        <f>SUM(O14:O41)</f>
        <v>838790</v>
      </c>
      <c r="P43" s="79"/>
      <c r="Q43" s="78">
        <f>SUM(Q14:Q41)</f>
        <v>1791909.1</v>
      </c>
      <c r="R43" s="79"/>
      <c r="S43" s="132">
        <f>Q43/J43</f>
        <v>0.22723268663332102</v>
      </c>
      <c r="U43" s="78">
        <f>SUM(U14:U41)</f>
        <v>2968393</v>
      </c>
      <c r="V43" s="132">
        <f>Q43/U43</f>
        <v>0.6036630257516441</v>
      </c>
      <c r="X43" s="136">
        <f>SUM(X14:X41)</f>
        <v>6126585.522304035</v>
      </c>
      <c r="Y43" s="79"/>
    </row>
    <row r="44" spans="5:19" ht="15">
      <c r="E44" s="75"/>
      <c r="F44" s="75"/>
      <c r="G44" s="75"/>
      <c r="H44" s="75"/>
      <c r="I44" s="75"/>
      <c r="J44" s="75"/>
      <c r="K44" s="76"/>
      <c r="L44" s="81"/>
      <c r="M44" s="81"/>
      <c r="N44" s="81"/>
      <c r="O44" s="81"/>
      <c r="P44" s="115"/>
      <c r="Q44" s="75"/>
      <c r="R44" s="75"/>
      <c r="S44" s="75"/>
    </row>
    <row r="45" spans="7:21" ht="15.75" customHeight="1" thickBot="1">
      <c r="G45" s="74"/>
      <c r="H45" s="75"/>
      <c r="I45" s="75"/>
      <c r="J45" s="100" t="s">
        <v>24</v>
      </c>
      <c r="K45" s="76"/>
      <c r="L45" s="81">
        <f>L43*Q10</f>
        <v>0</v>
      </c>
      <c r="M45" s="81">
        <f>M43*Q9</f>
        <v>181489.6</v>
      </c>
      <c r="N45" s="81">
        <f>N43*Q8</f>
        <v>855508.5</v>
      </c>
      <c r="O45" s="81">
        <f>O43*Q7</f>
        <v>754911</v>
      </c>
      <c r="P45" s="115"/>
      <c r="Q45" s="80">
        <f>SUM(L45:O45)</f>
        <v>1791909.1</v>
      </c>
      <c r="R45" s="137"/>
      <c r="S45" s="137"/>
      <c r="U45" s="103" t="s">
        <v>32</v>
      </c>
    </row>
    <row r="46" spans="2:19" ht="15">
      <c r="B46" s="68"/>
      <c r="E46" s="82"/>
      <c r="F46" s="87"/>
      <c r="G46" s="75"/>
      <c r="H46" s="75"/>
      <c r="I46" s="75"/>
      <c r="J46" s="75"/>
      <c r="K46" s="76"/>
      <c r="L46" s="99"/>
      <c r="M46" s="74"/>
      <c r="N46" s="74"/>
      <c r="O46" s="74"/>
      <c r="P46" s="79"/>
      <c r="Q46" s="99"/>
      <c r="R46" s="99"/>
      <c r="S46" s="99"/>
    </row>
    <row r="47" spans="5:24" ht="15.75" customHeight="1">
      <c r="E47" s="75"/>
      <c r="F47" s="75"/>
      <c r="G47" s="75"/>
      <c r="H47" s="75"/>
      <c r="I47" s="75"/>
      <c r="J47" s="75"/>
      <c r="K47" s="76"/>
      <c r="L47" s="75"/>
      <c r="M47" s="75"/>
      <c r="N47" s="75"/>
      <c r="O47" s="75"/>
      <c r="P47" s="116"/>
      <c r="R47" s="103"/>
      <c r="S47" s="103"/>
      <c r="U47" s="84" t="s">
        <v>30</v>
      </c>
      <c r="X47" s="83">
        <v>4740000</v>
      </c>
    </row>
    <row r="48" spans="2:24" ht="15.75" customHeight="1">
      <c r="B48" s="68"/>
      <c r="D48" s="84"/>
      <c r="E48" s="143" t="s">
        <v>42</v>
      </c>
      <c r="F48" s="144"/>
      <c r="G48" s="144"/>
      <c r="H48" s="145">
        <f>X52</f>
        <v>228464.51708984893</v>
      </c>
      <c r="I48" s="75"/>
      <c r="J48" s="115"/>
      <c r="K48" s="116"/>
      <c r="L48" s="116"/>
      <c r="M48" s="116"/>
      <c r="N48" s="116"/>
      <c r="O48" s="116"/>
      <c r="P48" s="116"/>
      <c r="U48" s="67" t="s">
        <v>6</v>
      </c>
      <c r="X48" s="83">
        <v>477000</v>
      </c>
    </row>
    <row r="49" spans="5:24" ht="15.75" customHeight="1">
      <c r="E49" s="146"/>
      <c r="F49" s="112"/>
      <c r="G49" s="112"/>
      <c r="H49" s="147"/>
      <c r="I49" s="85"/>
      <c r="J49" s="117"/>
      <c r="K49" s="117"/>
      <c r="L49" s="117"/>
      <c r="M49" s="117"/>
      <c r="N49" s="117"/>
      <c r="O49" s="117"/>
      <c r="P49" s="117"/>
      <c r="R49" s="84"/>
      <c r="U49" s="67" t="s">
        <v>28</v>
      </c>
      <c r="X49" s="83">
        <v>0</v>
      </c>
    </row>
    <row r="50" spans="5:24" ht="15.75" customHeight="1" thickBot="1">
      <c r="E50" s="146" t="s">
        <v>45</v>
      </c>
      <c r="F50" s="148"/>
      <c r="G50" s="149"/>
      <c r="H50" s="150">
        <f>X43-X28</f>
        <v>5898121.005214185</v>
      </c>
      <c r="I50" s="24"/>
      <c r="J50" s="84"/>
      <c r="K50" s="84"/>
      <c r="L50" s="118"/>
      <c r="M50" s="118"/>
      <c r="N50" s="118"/>
      <c r="O50" s="118"/>
      <c r="P50" s="118"/>
      <c r="V50" s="142" t="s">
        <v>41</v>
      </c>
      <c r="X50" s="80">
        <f>SUM(X47:X49)</f>
        <v>5217000</v>
      </c>
    </row>
    <row r="51" spans="5:24" ht="15.75" customHeight="1" thickBot="1">
      <c r="E51" s="146" t="s">
        <v>44</v>
      </c>
      <c r="F51" s="149"/>
      <c r="G51" s="112"/>
      <c r="H51" s="150">
        <f>X50</f>
        <v>5217000</v>
      </c>
      <c r="J51" s="84"/>
      <c r="K51" s="84"/>
      <c r="L51" s="119"/>
      <c r="M51" s="119"/>
      <c r="N51" s="119"/>
      <c r="O51" s="119"/>
      <c r="P51" s="119"/>
      <c r="V51" s="142" t="s">
        <v>31</v>
      </c>
      <c r="X51" s="123">
        <f>X43-X50</f>
        <v>909585.5223040348</v>
      </c>
    </row>
    <row r="52" spans="5:27" ht="15">
      <c r="E52" s="151" t="s">
        <v>43</v>
      </c>
      <c r="F52" s="152"/>
      <c r="G52" s="152"/>
      <c r="H52" s="153">
        <f>H51/H50</f>
        <v>0.8845189841625755</v>
      </c>
      <c r="U52" s="67" t="s">
        <v>29</v>
      </c>
      <c r="V52" s="133"/>
      <c r="X52" s="83">
        <f>X28</f>
        <v>228464.51708984893</v>
      </c>
      <c r="Z52" s="67"/>
      <c r="AA52" s="67"/>
    </row>
    <row r="53" spans="22:27" ht="15.75" thickBot="1">
      <c r="V53" s="142" t="s">
        <v>33</v>
      </c>
      <c r="X53" s="122">
        <f>X51-X52</f>
        <v>681121.0052141859</v>
      </c>
      <c r="Z53" s="67"/>
      <c r="AA53" s="67"/>
    </row>
    <row r="54" spans="26:27" ht="15">
      <c r="Z54" s="67"/>
      <c r="AA54" s="67"/>
    </row>
    <row r="55" spans="26:27" ht="15">
      <c r="Z55" s="67"/>
      <c r="AA55" s="67"/>
    </row>
    <row r="57" spans="24:27" ht="15">
      <c r="X57" s="75"/>
      <c r="Z57" s="67"/>
      <c r="AA57" s="67"/>
    </row>
    <row r="59" spans="26:27" ht="15">
      <c r="Z59" s="67"/>
      <c r="AA59" s="67"/>
    </row>
    <row r="60" spans="26:27" ht="15">
      <c r="Z60" s="67"/>
      <c r="AA60" s="67"/>
    </row>
    <row r="61" spans="26:27" ht="15">
      <c r="Z61" s="67"/>
      <c r="AA61" s="67"/>
    </row>
    <row r="62" spans="26:27" ht="15">
      <c r="Z62" s="67"/>
      <c r="AA62" s="67"/>
    </row>
    <row r="63" spans="26:27" ht="15">
      <c r="Z63" s="67"/>
      <c r="AA63" s="67"/>
    </row>
  </sheetData>
  <sheetProtection/>
  <printOptions/>
  <pageMargins left="0.75" right="0.41" top="0.39" bottom="0.42" header="0.23" footer="0.33"/>
  <pageSetup fitToHeight="1" fitToWidth="1" horizontalDpi="600" verticalDpi="600" orientation="landscape" paperSize="9" scale="60"/>
  <ignoredErrors>
    <ignoredError sqref="U14:U4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P48"/>
  <sheetViews>
    <sheetView zoomScale="60" zoomScaleNormal="60" zoomScalePageLayoutView="0" workbookViewId="0" topLeftCell="A1">
      <selection activeCell="L46" sqref="L46"/>
    </sheetView>
  </sheetViews>
  <sheetFormatPr defaultColWidth="8.8515625" defaultRowHeight="12.75"/>
  <cols>
    <col min="1" max="1" width="2.28125" style="0" customWidth="1"/>
    <col min="2" max="2" width="5.8515625" style="0" customWidth="1"/>
    <col min="3" max="3" width="20.140625" style="0" customWidth="1"/>
    <col min="4" max="4" width="21.8515625" style="0" bestFit="1" customWidth="1"/>
    <col min="5" max="5" width="22.00390625" style="0" customWidth="1"/>
    <col min="6" max="6" width="22.421875" style="0" customWidth="1"/>
    <col min="7" max="7" width="24.140625" style="0" customWidth="1"/>
    <col min="8" max="11" width="15.7109375" style="0" customWidth="1"/>
    <col min="12" max="12" width="27.28125" style="0" customWidth="1"/>
    <col min="13" max="13" width="25.421875" style="0" bestFit="1" customWidth="1"/>
    <col min="14" max="14" width="20.8515625" style="0" bestFit="1" customWidth="1"/>
    <col min="15" max="15" width="22.00390625" style="0" bestFit="1" customWidth="1"/>
  </cols>
  <sheetData>
    <row r="3" spans="2:9" ht="21.75" customHeight="1">
      <c r="B3" s="154" t="s">
        <v>91</v>
      </c>
      <c r="C3" s="154"/>
      <c r="D3" s="154"/>
      <c r="E3" s="1"/>
      <c r="F3" s="1"/>
      <c r="G3" s="1"/>
      <c r="H3" s="1"/>
      <c r="I3" s="1"/>
    </row>
    <row r="4" spans="2:12" ht="31.5" customHeight="1">
      <c r="B4" s="155" t="s">
        <v>80</v>
      </c>
      <c r="C4" s="155"/>
      <c r="D4" s="155"/>
      <c r="E4" s="156"/>
      <c r="F4" s="156"/>
      <c r="G4" s="156"/>
      <c r="H4" s="14"/>
      <c r="I4" s="1"/>
      <c r="L4" s="46" t="s">
        <v>8</v>
      </c>
    </row>
    <row r="5" spans="2:9" ht="25.5" customHeight="1">
      <c r="B5" s="157" t="s">
        <v>81</v>
      </c>
      <c r="C5" s="157"/>
      <c r="D5" s="157"/>
      <c r="E5" s="158"/>
      <c r="F5" s="158"/>
      <c r="G5" s="158"/>
      <c r="H5" s="19"/>
      <c r="I5" s="4"/>
    </row>
    <row r="6" spans="2:16" ht="72" customHeight="1">
      <c r="B6" s="21" t="s">
        <v>11</v>
      </c>
      <c r="C6" s="9" t="s">
        <v>50</v>
      </c>
      <c r="D6" s="21" t="s">
        <v>82</v>
      </c>
      <c r="E6" s="21" t="s">
        <v>83</v>
      </c>
      <c r="F6" s="38" t="s">
        <v>94</v>
      </c>
      <c r="G6" s="38" t="s">
        <v>100</v>
      </c>
      <c r="H6" s="21" t="s">
        <v>99</v>
      </c>
      <c r="I6" s="21" t="s">
        <v>84</v>
      </c>
      <c r="J6" s="22" t="s">
        <v>103</v>
      </c>
      <c r="K6" s="29" t="s">
        <v>101</v>
      </c>
      <c r="L6" s="47" t="s">
        <v>4</v>
      </c>
      <c r="M6" s="48" t="s">
        <v>3</v>
      </c>
      <c r="N6" s="43" t="s">
        <v>99</v>
      </c>
      <c r="O6" s="48" t="s">
        <v>2</v>
      </c>
      <c r="P6" s="49"/>
    </row>
    <row r="7" spans="2:16" ht="15.75" customHeight="1">
      <c r="B7" s="5">
        <v>1</v>
      </c>
      <c r="C7" s="7" t="s">
        <v>51</v>
      </c>
      <c r="D7" s="8">
        <v>194707</v>
      </c>
      <c r="E7" s="8">
        <f>D7/2</f>
        <v>97353.5</v>
      </c>
      <c r="F7" s="39">
        <v>16970</v>
      </c>
      <c r="G7" s="39">
        <v>20330</v>
      </c>
      <c r="H7" s="8">
        <f>(F7-(F7*0.5))+(G7-(G7*0.08))</f>
        <v>27188.6</v>
      </c>
      <c r="I7" s="8">
        <f>(D7/14388550)*2090480</f>
        <v>28288.541191433465</v>
      </c>
      <c r="J7" s="23">
        <v>29382.58689792404</v>
      </c>
      <c r="K7" s="30">
        <f aca="true" t="shared" si="0" ref="K7:K34">E7-H7-I7-J7</f>
        <v>12493.771910642485</v>
      </c>
      <c r="L7" s="50">
        <f aca="true" t="shared" si="1" ref="L7:L34">(D7/$D$35)*$L$37</f>
        <v>186742.69471211484</v>
      </c>
      <c r="M7" s="50">
        <f>L7/$M$37</f>
        <v>103745.94150673047</v>
      </c>
      <c r="N7" s="51">
        <f>H7</f>
        <v>27188.6</v>
      </c>
      <c r="O7" s="50">
        <f>M7-N7</f>
        <v>76557.34150673047</v>
      </c>
      <c r="P7" s="49"/>
    </row>
    <row r="8" spans="2:16" ht="15.75" customHeight="1">
      <c r="B8" s="5">
        <v>2</v>
      </c>
      <c r="C8" s="7" t="s">
        <v>52</v>
      </c>
      <c r="D8" s="8">
        <v>297694</v>
      </c>
      <c r="E8" s="8">
        <f aca="true" t="shared" si="2" ref="E8:E34">D8/2</f>
        <v>148847</v>
      </c>
      <c r="F8" s="39">
        <v>28040</v>
      </c>
      <c r="G8" s="39">
        <v>37190</v>
      </c>
      <c r="H8" s="8">
        <f aca="true" t="shared" si="3" ref="H8:H34">(F8-(F8*0.5))+(G8-(G8*0.08))</f>
        <v>48234.8</v>
      </c>
      <c r="I8" s="8">
        <f aca="true" t="shared" si="4" ref="I8:I35">(D8/14388550)*2090480</f>
        <v>43251.29030513846</v>
      </c>
      <c r="J8" s="23">
        <v>37338.281467746936</v>
      </c>
      <c r="K8" s="30">
        <f t="shared" si="0"/>
        <v>20022.628227114605</v>
      </c>
      <c r="L8" s="50">
        <f t="shared" si="1"/>
        <v>285517.1090902141</v>
      </c>
      <c r="M8" s="50">
        <f aca="true" t="shared" si="5" ref="M8:M34">L8/$M$37</f>
        <v>158620.61616123005</v>
      </c>
      <c r="N8" s="51">
        <f aca="true" t="shared" si="6" ref="N8:N34">H8</f>
        <v>48234.8</v>
      </c>
      <c r="O8" s="50">
        <f aca="true" t="shared" si="7" ref="O8:O34">M8-N8</f>
        <v>110385.81616123005</v>
      </c>
      <c r="P8" s="49"/>
    </row>
    <row r="9" spans="2:16" ht="15.75" customHeight="1">
      <c r="B9" s="5">
        <v>3</v>
      </c>
      <c r="C9" s="7" t="s">
        <v>53</v>
      </c>
      <c r="D9" s="8">
        <v>192188</v>
      </c>
      <c r="E9" s="8">
        <f t="shared" si="2"/>
        <v>96094</v>
      </c>
      <c r="F9" s="39">
        <v>29270</v>
      </c>
      <c r="G9" s="39">
        <v>38390</v>
      </c>
      <c r="H9" s="8">
        <f t="shared" si="3"/>
        <v>49953.8</v>
      </c>
      <c r="I9" s="8">
        <f t="shared" si="4"/>
        <v>27922.56135885826</v>
      </c>
      <c r="J9" s="23">
        <v>473.0807430561061</v>
      </c>
      <c r="K9" s="30">
        <f t="shared" si="0"/>
        <v>17744.55789808563</v>
      </c>
      <c r="L9" s="50">
        <f t="shared" si="1"/>
        <v>184326.7320195572</v>
      </c>
      <c r="M9" s="50">
        <f t="shared" si="5"/>
        <v>102403.74001086512</v>
      </c>
      <c r="N9" s="51">
        <f t="shared" si="6"/>
        <v>49953.8</v>
      </c>
      <c r="O9" s="50">
        <f t="shared" si="7"/>
        <v>52449.94001086512</v>
      </c>
      <c r="P9" s="49"/>
    </row>
    <row r="10" spans="2:16" ht="15.75" customHeight="1">
      <c r="B10" s="5">
        <v>4</v>
      </c>
      <c r="C10" s="7" t="s">
        <v>54</v>
      </c>
      <c r="D10" s="8">
        <f>795708+168928</f>
        <v>964636</v>
      </c>
      <c r="E10" s="8">
        <f t="shared" si="2"/>
        <v>482318</v>
      </c>
      <c r="F10" s="39">
        <v>49020</v>
      </c>
      <c r="G10" s="39">
        <v>110920</v>
      </c>
      <c r="H10" s="8">
        <f t="shared" si="3"/>
        <v>126556.4</v>
      </c>
      <c r="I10" s="8">
        <f t="shared" si="4"/>
        <v>140149.79030409598</v>
      </c>
      <c r="J10" s="23">
        <v>168561.09396871124</v>
      </c>
      <c r="K10" s="30">
        <f t="shared" si="0"/>
        <v>47050.71572719276</v>
      </c>
      <c r="L10" s="50">
        <f t="shared" si="1"/>
        <v>925178.4787209275</v>
      </c>
      <c r="M10" s="50">
        <f t="shared" si="5"/>
        <v>513988.0437338486</v>
      </c>
      <c r="N10" s="51">
        <f t="shared" si="6"/>
        <v>126556.4</v>
      </c>
      <c r="O10" s="50">
        <f t="shared" si="7"/>
        <v>387431.6437338486</v>
      </c>
      <c r="P10" s="49"/>
    </row>
    <row r="11" spans="2:16" ht="15.75" customHeight="1">
      <c r="B11" s="5">
        <v>5</v>
      </c>
      <c r="C11" s="7" t="s">
        <v>55</v>
      </c>
      <c r="D11" s="8">
        <v>236978</v>
      </c>
      <c r="E11" s="8">
        <f t="shared" si="2"/>
        <v>118489</v>
      </c>
      <c r="F11" s="39">
        <v>14400</v>
      </c>
      <c r="G11" s="39">
        <v>37390</v>
      </c>
      <c r="H11" s="8">
        <f t="shared" si="3"/>
        <v>41598.8</v>
      </c>
      <c r="I11" s="8">
        <f t="shared" si="4"/>
        <v>34429.99950933207</v>
      </c>
      <c r="J11" s="23">
        <v>29848.825453867845</v>
      </c>
      <c r="K11" s="30">
        <f t="shared" si="0"/>
        <v>12611.375036800084</v>
      </c>
      <c r="L11" s="50">
        <f t="shared" si="1"/>
        <v>227284.639522398</v>
      </c>
      <c r="M11" s="50">
        <f t="shared" si="5"/>
        <v>126269.24417911</v>
      </c>
      <c r="N11" s="51">
        <f t="shared" si="6"/>
        <v>41598.8</v>
      </c>
      <c r="O11" s="50">
        <f t="shared" si="7"/>
        <v>84670.44417911</v>
      </c>
      <c r="P11" s="49"/>
    </row>
    <row r="12" spans="2:16" ht="15.75" customHeight="1">
      <c r="B12" s="5">
        <v>6</v>
      </c>
      <c r="C12" s="7" t="s">
        <v>56</v>
      </c>
      <c r="D12" s="8">
        <v>10426</v>
      </c>
      <c r="E12" s="8">
        <f>D12/2</f>
        <v>5213</v>
      </c>
      <c r="F12" s="39">
        <v>500</v>
      </c>
      <c r="G12" s="39">
        <v>11000</v>
      </c>
      <c r="H12" s="8">
        <f t="shared" si="3"/>
        <v>10370</v>
      </c>
      <c r="I12" s="8">
        <v>0</v>
      </c>
      <c r="J12" s="25">
        <v>0</v>
      </c>
      <c r="K12" s="30">
        <f t="shared" si="0"/>
        <v>-5157</v>
      </c>
      <c r="L12" s="50">
        <f t="shared" si="1"/>
        <v>9999.534351967364</v>
      </c>
      <c r="M12" s="50">
        <f t="shared" si="5"/>
        <v>5555.296862204091</v>
      </c>
      <c r="N12" s="51">
        <f t="shared" si="6"/>
        <v>10370</v>
      </c>
      <c r="O12" s="50">
        <v>0</v>
      </c>
      <c r="P12" s="49"/>
    </row>
    <row r="13" spans="2:16" ht="15.75" customHeight="1">
      <c r="B13" s="5">
        <v>7</v>
      </c>
      <c r="C13" s="7" t="s">
        <v>57</v>
      </c>
      <c r="D13" s="8">
        <v>334856</v>
      </c>
      <c r="E13" s="8">
        <f t="shared" si="2"/>
        <v>167428</v>
      </c>
      <c r="F13" s="39">
        <v>19950</v>
      </c>
      <c r="G13" s="39">
        <v>36870</v>
      </c>
      <c r="H13" s="8">
        <f t="shared" si="3"/>
        <v>43895.4</v>
      </c>
      <c r="I13" s="8">
        <f t="shared" si="4"/>
        <v>48650.473527909344</v>
      </c>
      <c r="J13" s="23">
        <v>57310.711986683855</v>
      </c>
      <c r="K13" s="30">
        <f t="shared" si="0"/>
        <v>17571.414485406807</v>
      </c>
      <c r="L13" s="50">
        <f t="shared" si="1"/>
        <v>321159.03270308685</v>
      </c>
      <c r="M13" s="50">
        <f t="shared" si="5"/>
        <v>178421.68483504825</v>
      </c>
      <c r="N13" s="51">
        <f t="shared" si="6"/>
        <v>43895.4</v>
      </c>
      <c r="O13" s="50">
        <f t="shared" si="7"/>
        <v>134526.28483504825</v>
      </c>
      <c r="P13" s="49"/>
    </row>
    <row r="14" spans="2:16" ht="15.75" customHeight="1">
      <c r="B14" s="5">
        <v>8</v>
      </c>
      <c r="C14" s="7" t="s">
        <v>58</v>
      </c>
      <c r="D14" s="8">
        <v>371938</v>
      </c>
      <c r="E14" s="8">
        <f t="shared" si="2"/>
        <v>185969</v>
      </c>
      <c r="F14" s="39">
        <v>27550</v>
      </c>
      <c r="G14" s="39">
        <v>28400</v>
      </c>
      <c r="H14" s="8">
        <f t="shared" si="3"/>
        <v>39903</v>
      </c>
      <c r="I14" s="8">
        <f t="shared" si="4"/>
        <v>54038.03373098749</v>
      </c>
      <c r="J14" s="23">
        <v>70282.39379883658</v>
      </c>
      <c r="K14" s="30">
        <f t="shared" si="0"/>
        <v>21745.57247017593</v>
      </c>
      <c r="L14" s="50">
        <f t="shared" si="1"/>
        <v>356724.228640134</v>
      </c>
      <c r="M14" s="50">
        <f t="shared" si="5"/>
        <v>198180.12702229666</v>
      </c>
      <c r="N14" s="51">
        <f t="shared" si="6"/>
        <v>39903</v>
      </c>
      <c r="O14" s="50">
        <f t="shared" si="7"/>
        <v>158277.12702229666</v>
      </c>
      <c r="P14" s="49"/>
    </row>
    <row r="15" spans="2:16" ht="15.75" customHeight="1">
      <c r="B15" s="5">
        <v>9</v>
      </c>
      <c r="C15" s="7" t="s">
        <v>59</v>
      </c>
      <c r="D15" s="8">
        <v>641895</v>
      </c>
      <c r="E15" s="8">
        <f t="shared" si="2"/>
        <v>320947.5</v>
      </c>
      <c r="F15" s="39">
        <v>25174</v>
      </c>
      <c r="G15" s="39">
        <v>47970</v>
      </c>
      <c r="H15" s="8">
        <f t="shared" si="3"/>
        <v>56719.4</v>
      </c>
      <c r="I15" s="8">
        <f t="shared" si="4"/>
        <v>93259.4778209062</v>
      </c>
      <c r="J15" s="23">
        <v>142953.22051566176</v>
      </c>
      <c r="K15" s="30">
        <f t="shared" si="0"/>
        <v>28015.401663432014</v>
      </c>
      <c r="L15" s="50">
        <f t="shared" si="1"/>
        <v>615638.8934256752</v>
      </c>
      <c r="M15" s="50">
        <f t="shared" si="5"/>
        <v>342021.60745870846</v>
      </c>
      <c r="N15" s="51">
        <f t="shared" si="6"/>
        <v>56719.4</v>
      </c>
      <c r="O15" s="50">
        <f t="shared" si="7"/>
        <v>285302.20745870844</v>
      </c>
      <c r="P15" s="49"/>
    </row>
    <row r="16" spans="2:16" ht="15.75" customHeight="1">
      <c r="B16" s="5">
        <v>10</v>
      </c>
      <c r="C16" s="7" t="s">
        <v>60</v>
      </c>
      <c r="D16" s="8">
        <v>244914</v>
      </c>
      <c r="E16" s="8">
        <f t="shared" si="2"/>
        <v>122457</v>
      </c>
      <c r="F16" s="39">
        <v>18140</v>
      </c>
      <c r="G16" s="39">
        <v>22520</v>
      </c>
      <c r="H16" s="8">
        <f t="shared" si="3"/>
        <v>29788.4</v>
      </c>
      <c r="I16" s="8">
        <f t="shared" si="4"/>
        <v>35583.003062852054</v>
      </c>
      <c r="J16" s="23">
        <v>42747.94716686186</v>
      </c>
      <c r="K16" s="30">
        <f t="shared" si="0"/>
        <v>14337.649770286094</v>
      </c>
      <c r="L16" s="50">
        <f t="shared" si="1"/>
        <v>234896.0249642945</v>
      </c>
      <c r="M16" s="50">
        <f t="shared" si="5"/>
        <v>130497.79164683029</v>
      </c>
      <c r="N16" s="51">
        <f t="shared" si="6"/>
        <v>29788.4</v>
      </c>
      <c r="O16" s="50">
        <f t="shared" si="7"/>
        <v>100709.39164683028</v>
      </c>
      <c r="P16" s="49"/>
    </row>
    <row r="17" spans="2:16" ht="15.75" customHeight="1">
      <c r="B17" s="5">
        <v>11</v>
      </c>
      <c r="C17" s="7" t="s">
        <v>61</v>
      </c>
      <c r="D17" s="8">
        <v>707862</v>
      </c>
      <c r="E17" s="8">
        <f t="shared" si="2"/>
        <v>353931</v>
      </c>
      <c r="F17" s="39">
        <v>35730</v>
      </c>
      <c r="G17" s="39">
        <v>49420</v>
      </c>
      <c r="H17" s="8">
        <f t="shared" si="3"/>
        <v>63331.4</v>
      </c>
      <c r="I17" s="8">
        <f t="shared" si="4"/>
        <v>102843.67457179494</v>
      </c>
      <c r="J17" s="23">
        <v>153492.0260210897</v>
      </c>
      <c r="K17" s="30">
        <f t="shared" si="0"/>
        <v>34263.89940711536</v>
      </c>
      <c r="L17" s="50">
        <f t="shared" si="1"/>
        <v>678907.5758154922</v>
      </c>
      <c r="M17" s="50">
        <f t="shared" si="5"/>
        <v>377170.87545305124</v>
      </c>
      <c r="N17" s="51">
        <f t="shared" si="6"/>
        <v>63331.4</v>
      </c>
      <c r="O17" s="50">
        <f t="shared" si="7"/>
        <v>313839.4754530512</v>
      </c>
      <c r="P17" s="49"/>
    </row>
    <row r="18" spans="2:16" ht="15.75" customHeight="1">
      <c r="B18" s="5">
        <v>12</v>
      </c>
      <c r="C18" s="7" t="s">
        <v>62</v>
      </c>
      <c r="D18" s="8">
        <v>511792</v>
      </c>
      <c r="E18" s="8">
        <f t="shared" si="2"/>
        <v>255896</v>
      </c>
      <c r="F18" s="39">
        <v>24360</v>
      </c>
      <c r="G18" s="39">
        <v>35670</v>
      </c>
      <c r="H18" s="8">
        <f t="shared" si="3"/>
        <v>44996.4</v>
      </c>
      <c r="I18" s="8">
        <f t="shared" si="4"/>
        <v>74357.10618234638</v>
      </c>
      <c r="J18" s="23">
        <v>112395.72678132959</v>
      </c>
      <c r="K18" s="30">
        <f t="shared" si="0"/>
        <v>24146.767036324032</v>
      </c>
      <c r="L18" s="50">
        <f t="shared" si="1"/>
        <v>490857.63332649926</v>
      </c>
      <c r="M18" s="50">
        <f t="shared" si="5"/>
        <v>272698.68518138846</v>
      </c>
      <c r="N18" s="51">
        <f t="shared" si="6"/>
        <v>44996.4</v>
      </c>
      <c r="O18" s="50">
        <f t="shared" si="7"/>
        <v>227702.28518138846</v>
      </c>
      <c r="P18" s="49"/>
    </row>
    <row r="19" spans="2:16" ht="15.75" customHeight="1">
      <c r="B19" s="5">
        <v>13</v>
      </c>
      <c r="C19" s="7" t="s">
        <v>63</v>
      </c>
      <c r="D19" s="8">
        <f>1325010+817270</f>
        <v>2142280</v>
      </c>
      <c r="E19" s="8">
        <f t="shared" si="2"/>
        <v>1071140</v>
      </c>
      <c r="F19" s="39">
        <v>73016</v>
      </c>
      <c r="G19" s="39">
        <v>101970</v>
      </c>
      <c r="H19" s="8">
        <f t="shared" si="3"/>
        <v>130320.4</v>
      </c>
      <c r="I19" s="8">
        <f t="shared" si="4"/>
        <v>311247.0328420863</v>
      </c>
      <c r="J19" s="23">
        <v>542767.9446210702</v>
      </c>
      <c r="K19" s="30">
        <f t="shared" si="0"/>
        <v>86804.62253684353</v>
      </c>
      <c r="L19" s="50">
        <f t="shared" si="1"/>
        <v>2054652.0670950166</v>
      </c>
      <c r="M19" s="50">
        <f t="shared" si="5"/>
        <v>1141473.3706083426</v>
      </c>
      <c r="N19" s="51">
        <f t="shared" si="6"/>
        <v>130320.4</v>
      </c>
      <c r="O19" s="50">
        <f t="shared" si="7"/>
        <v>1011152.9706083426</v>
      </c>
      <c r="P19" s="49"/>
    </row>
    <row r="20" spans="2:16" ht="15.75" customHeight="1">
      <c r="B20" s="34">
        <v>14</v>
      </c>
      <c r="C20" s="35" t="s">
        <v>64</v>
      </c>
      <c r="D20" s="20">
        <v>671137</v>
      </c>
      <c r="E20" s="20">
        <f t="shared" si="2"/>
        <v>335568.5</v>
      </c>
      <c r="F20" s="20">
        <v>40659</v>
      </c>
      <c r="G20" s="20">
        <v>52500</v>
      </c>
      <c r="H20" s="20">
        <f t="shared" si="3"/>
        <v>68629.5</v>
      </c>
      <c r="I20" s="20">
        <f t="shared" si="4"/>
        <v>97507.98209409564</v>
      </c>
      <c r="J20" s="36">
        <v>134033.90406296152</v>
      </c>
      <c r="K20" s="37">
        <f t="shared" si="0"/>
        <v>35397.11384294284</v>
      </c>
      <c r="L20" s="52">
        <f t="shared" si="1"/>
        <v>643684.7771318166</v>
      </c>
      <c r="M20" s="52">
        <f t="shared" si="5"/>
        <v>357602.65396212036</v>
      </c>
      <c r="N20" s="53">
        <f t="shared" si="6"/>
        <v>68629.5</v>
      </c>
      <c r="O20" s="52">
        <f t="shared" si="7"/>
        <v>288973.15396212036</v>
      </c>
      <c r="P20" s="49"/>
    </row>
    <row r="21" spans="2:16" ht="15.75" customHeight="1">
      <c r="B21" s="34">
        <v>15</v>
      </c>
      <c r="C21" s="35" t="s">
        <v>65</v>
      </c>
      <c r="D21" s="20">
        <v>513865</v>
      </c>
      <c r="E21" s="20">
        <f t="shared" si="2"/>
        <v>256932.5</v>
      </c>
      <c r="F21" s="20">
        <v>37570</v>
      </c>
      <c r="G21" s="20">
        <v>79090</v>
      </c>
      <c r="H21" s="20">
        <f t="shared" si="3"/>
        <v>91547.8</v>
      </c>
      <c r="I21" s="20">
        <f t="shared" si="4"/>
        <v>74658.28768013454</v>
      </c>
      <c r="J21" s="36">
        <v>60693.14639587556</v>
      </c>
      <c r="K21" s="37">
        <f t="shared" si="0"/>
        <v>30033.265923989908</v>
      </c>
      <c r="L21" s="52">
        <f t="shared" si="1"/>
        <v>492845.83922632923</v>
      </c>
      <c r="M21" s="52">
        <f t="shared" si="5"/>
        <v>273803.24401462736</v>
      </c>
      <c r="N21" s="53">
        <f t="shared" si="6"/>
        <v>91547.8</v>
      </c>
      <c r="O21" s="54">
        <f t="shared" si="7"/>
        <v>182255.44401462737</v>
      </c>
      <c r="P21" s="49"/>
    </row>
    <row r="22" spans="2:16" ht="15.75" customHeight="1">
      <c r="B22" s="5">
        <v>16</v>
      </c>
      <c r="C22" s="7" t="s">
        <v>66</v>
      </c>
      <c r="D22" s="8">
        <v>349121</v>
      </c>
      <c r="E22" s="8">
        <f t="shared" si="2"/>
        <v>174560.5</v>
      </c>
      <c r="F22" s="39">
        <v>21050</v>
      </c>
      <c r="G22" s="39">
        <v>29560</v>
      </c>
      <c r="H22" s="8">
        <f t="shared" si="3"/>
        <v>37720.2</v>
      </c>
      <c r="I22" s="8">
        <f t="shared" si="4"/>
        <v>50723.00322687137</v>
      </c>
      <c r="J22" s="23">
        <v>67744.68451514398</v>
      </c>
      <c r="K22" s="30">
        <f t="shared" si="0"/>
        <v>18372.61225798464</v>
      </c>
      <c r="L22" s="50">
        <f t="shared" si="1"/>
        <v>334840.53639873373</v>
      </c>
      <c r="M22" s="50">
        <f t="shared" si="5"/>
        <v>186022.52022151873</v>
      </c>
      <c r="N22" s="51">
        <f t="shared" si="6"/>
        <v>37720.2</v>
      </c>
      <c r="O22" s="50">
        <f t="shared" si="7"/>
        <v>148302.32022151875</v>
      </c>
      <c r="P22" s="49"/>
    </row>
    <row r="23" spans="2:16" ht="15.75" customHeight="1">
      <c r="B23" s="5">
        <v>17</v>
      </c>
      <c r="C23" s="7" t="s">
        <v>67</v>
      </c>
      <c r="D23" s="8">
        <v>885355</v>
      </c>
      <c r="E23" s="8">
        <f t="shared" si="2"/>
        <v>442677.5</v>
      </c>
      <c r="F23" s="39">
        <v>56200</v>
      </c>
      <c r="G23" s="39">
        <v>73150</v>
      </c>
      <c r="H23" s="8">
        <f t="shared" si="3"/>
        <v>95398</v>
      </c>
      <c r="I23" s="8">
        <f t="shared" si="4"/>
        <v>128631.23250084269</v>
      </c>
      <c r="J23" s="23">
        <v>170844.04743672052</v>
      </c>
      <c r="K23" s="30">
        <f t="shared" si="0"/>
        <v>47804.2200624368</v>
      </c>
      <c r="L23" s="50">
        <f t="shared" si="1"/>
        <v>849140.39288184</v>
      </c>
      <c r="M23" s="50">
        <f t="shared" si="5"/>
        <v>471744.6627121333</v>
      </c>
      <c r="N23" s="51">
        <f t="shared" si="6"/>
        <v>95398</v>
      </c>
      <c r="O23" s="50">
        <f t="shared" si="7"/>
        <v>376346.6627121333</v>
      </c>
      <c r="P23" s="49"/>
    </row>
    <row r="24" spans="2:16" ht="15.75" customHeight="1">
      <c r="B24" s="5">
        <v>18</v>
      </c>
      <c r="C24" s="7" t="s">
        <v>68</v>
      </c>
      <c r="D24" s="8">
        <v>538345</v>
      </c>
      <c r="E24" s="8">
        <f t="shared" si="2"/>
        <v>269172.5</v>
      </c>
      <c r="F24" s="39">
        <v>36180</v>
      </c>
      <c r="G24" s="39">
        <v>42600</v>
      </c>
      <c r="H24" s="8">
        <f t="shared" si="3"/>
        <v>57282</v>
      </c>
      <c r="I24" s="8">
        <f t="shared" si="4"/>
        <v>78214.93170611354</v>
      </c>
      <c r="J24" s="23">
        <v>103764.25067184497</v>
      </c>
      <c r="K24" s="30">
        <f t="shared" si="0"/>
        <v>29911.31762204149</v>
      </c>
      <c r="L24" s="50">
        <f t="shared" si="1"/>
        <v>516324.50802895357</v>
      </c>
      <c r="M24" s="50">
        <f t="shared" si="5"/>
        <v>286846.9489049742</v>
      </c>
      <c r="N24" s="51">
        <f t="shared" si="6"/>
        <v>57282</v>
      </c>
      <c r="O24" s="50">
        <f t="shared" si="7"/>
        <v>229564.9489049742</v>
      </c>
      <c r="P24" s="49"/>
    </row>
    <row r="25" spans="2:16" ht="15.75" customHeight="1">
      <c r="B25" s="5">
        <v>19</v>
      </c>
      <c r="C25" s="7" t="s">
        <v>69</v>
      </c>
      <c r="D25" s="8">
        <f>614268+107866</f>
        <v>722134</v>
      </c>
      <c r="E25" s="8">
        <f t="shared" si="2"/>
        <v>361067</v>
      </c>
      <c r="F25" s="39">
        <v>56200</v>
      </c>
      <c r="G25" s="39">
        <v>57950</v>
      </c>
      <c r="H25" s="8">
        <f t="shared" si="3"/>
        <v>81414</v>
      </c>
      <c r="I25" s="8">
        <f t="shared" si="4"/>
        <v>104917.22128498007</v>
      </c>
      <c r="J25" s="23">
        <v>131349.79531139345</v>
      </c>
      <c r="K25" s="30">
        <f t="shared" si="0"/>
        <v>43385.98340362648</v>
      </c>
      <c r="L25" s="50">
        <f t="shared" si="1"/>
        <v>692595.7931827737</v>
      </c>
      <c r="M25" s="50">
        <f t="shared" si="5"/>
        <v>384775.4406570965</v>
      </c>
      <c r="N25" s="51">
        <f t="shared" si="6"/>
        <v>81414</v>
      </c>
      <c r="O25" s="50">
        <f t="shared" si="7"/>
        <v>303361.4406570965</v>
      </c>
      <c r="P25" s="49"/>
    </row>
    <row r="26" spans="2:16" ht="15.75" customHeight="1">
      <c r="B26" s="5">
        <v>20</v>
      </c>
      <c r="C26" s="7" t="s">
        <v>70</v>
      </c>
      <c r="D26" s="8">
        <v>338219</v>
      </c>
      <c r="E26" s="8">
        <f t="shared" si="2"/>
        <v>169109.5</v>
      </c>
      <c r="F26" s="39">
        <v>21800</v>
      </c>
      <c r="G26" s="39">
        <v>193290</v>
      </c>
      <c r="H26" s="8">
        <f t="shared" si="3"/>
        <v>188726.8</v>
      </c>
      <c r="I26" s="8">
        <v>0</v>
      </c>
      <c r="J26" s="23">
        <v>5651.2875</v>
      </c>
      <c r="K26" s="30">
        <f t="shared" si="0"/>
        <v>-25268.587499999987</v>
      </c>
      <c r="L26" s="50">
        <f t="shared" si="1"/>
        <v>324384.4723756042</v>
      </c>
      <c r="M26" s="50">
        <f t="shared" si="5"/>
        <v>180213.59576422456</v>
      </c>
      <c r="N26" s="51">
        <f t="shared" si="6"/>
        <v>188726.8</v>
      </c>
      <c r="O26" s="50">
        <v>0</v>
      </c>
      <c r="P26" s="49"/>
    </row>
    <row r="27" spans="2:16" ht="15.75" customHeight="1">
      <c r="B27" s="5">
        <v>21</v>
      </c>
      <c r="C27" s="7" t="s">
        <v>71</v>
      </c>
      <c r="D27" s="8">
        <v>543745</v>
      </c>
      <c r="E27" s="8">
        <f t="shared" si="2"/>
        <v>271872.5</v>
      </c>
      <c r="F27" s="39">
        <v>42800</v>
      </c>
      <c r="G27" s="39">
        <v>48200</v>
      </c>
      <c r="H27" s="8">
        <f t="shared" si="3"/>
        <v>65744</v>
      </c>
      <c r="I27" s="8">
        <f t="shared" si="4"/>
        <v>78999.4855353736</v>
      </c>
      <c r="J27" s="23">
        <v>94232.5383797794</v>
      </c>
      <c r="K27" s="30">
        <f t="shared" si="0"/>
        <v>32896.47608484699</v>
      </c>
      <c r="L27" s="50">
        <f t="shared" si="1"/>
        <v>521503.6261471795</v>
      </c>
      <c r="M27" s="50">
        <f t="shared" si="5"/>
        <v>289724.23674843303</v>
      </c>
      <c r="N27" s="51">
        <f t="shared" si="6"/>
        <v>65744</v>
      </c>
      <c r="O27" s="50">
        <f t="shared" si="7"/>
        <v>223980.23674843303</v>
      </c>
      <c r="P27" s="49"/>
    </row>
    <row r="28" spans="2:16" ht="15.75" customHeight="1">
      <c r="B28" s="5">
        <v>22</v>
      </c>
      <c r="C28" s="7" t="s">
        <v>72</v>
      </c>
      <c r="D28" s="8">
        <v>603129</v>
      </c>
      <c r="E28" s="8">
        <f t="shared" si="2"/>
        <v>301564.5</v>
      </c>
      <c r="F28" s="39">
        <v>50150</v>
      </c>
      <c r="G28" s="39">
        <v>72350</v>
      </c>
      <c r="H28" s="8">
        <f t="shared" si="3"/>
        <v>91637</v>
      </c>
      <c r="I28" s="8">
        <f t="shared" si="4"/>
        <v>87627.25305329585</v>
      </c>
      <c r="J28" s="23">
        <v>84579.45342570136</v>
      </c>
      <c r="K28" s="30">
        <f t="shared" si="0"/>
        <v>37720.79352100279</v>
      </c>
      <c r="L28" s="50">
        <f t="shared" si="1"/>
        <v>578458.5799124999</v>
      </c>
      <c r="M28" s="50">
        <f t="shared" si="5"/>
        <v>321365.8777291666</v>
      </c>
      <c r="N28" s="51">
        <f t="shared" si="6"/>
        <v>91637</v>
      </c>
      <c r="O28" s="50">
        <f t="shared" si="7"/>
        <v>229728.8777291666</v>
      </c>
      <c r="P28" s="49"/>
    </row>
    <row r="29" spans="2:16" ht="15.75" customHeight="1">
      <c r="B29" s="5">
        <v>23</v>
      </c>
      <c r="C29" s="7" t="s">
        <v>73</v>
      </c>
      <c r="D29" s="8">
        <f>364708+751642</f>
        <v>1116350</v>
      </c>
      <c r="E29" s="8">
        <f t="shared" si="2"/>
        <v>558175</v>
      </c>
      <c r="F29" s="39">
        <v>91151</v>
      </c>
      <c r="G29" s="39">
        <v>55400</v>
      </c>
      <c r="H29" s="8">
        <f t="shared" si="3"/>
        <v>96543.5</v>
      </c>
      <c r="I29" s="8">
        <f t="shared" si="4"/>
        <v>162191.97542490382</v>
      </c>
      <c r="J29" s="23">
        <v>230724.622731964</v>
      </c>
      <c r="K29" s="30">
        <f t="shared" si="0"/>
        <v>68714.90184313222</v>
      </c>
      <c r="L29" s="50">
        <f t="shared" si="1"/>
        <v>1070686.7613484333</v>
      </c>
      <c r="M29" s="50">
        <f t="shared" si="5"/>
        <v>594825.9785269074</v>
      </c>
      <c r="N29" s="51">
        <f t="shared" si="6"/>
        <v>96543.5</v>
      </c>
      <c r="O29" s="50">
        <f t="shared" si="7"/>
        <v>498282.4785269074</v>
      </c>
      <c r="P29" s="49"/>
    </row>
    <row r="30" spans="2:16" ht="15.75" customHeight="1">
      <c r="B30" s="5">
        <v>24</v>
      </c>
      <c r="C30" s="7" t="s">
        <v>74</v>
      </c>
      <c r="D30" s="8">
        <v>301586</v>
      </c>
      <c r="E30" s="8">
        <f t="shared" si="2"/>
        <v>150793</v>
      </c>
      <c r="F30" s="39">
        <v>23400</v>
      </c>
      <c r="G30" s="39">
        <v>28365</v>
      </c>
      <c r="H30" s="8">
        <f t="shared" si="3"/>
        <v>37795.8</v>
      </c>
      <c r="I30" s="8">
        <f t="shared" si="4"/>
        <v>43816.750213190346</v>
      </c>
      <c r="J30" s="23">
        <v>51070.40605279893</v>
      </c>
      <c r="K30" s="30">
        <f t="shared" si="0"/>
        <v>18110.043734010724</v>
      </c>
      <c r="L30" s="50">
        <f t="shared" si="1"/>
        <v>289249.910519128</v>
      </c>
      <c r="M30" s="50">
        <f t="shared" si="5"/>
        <v>160694.3947328489</v>
      </c>
      <c r="N30" s="51">
        <f t="shared" si="6"/>
        <v>37795.8</v>
      </c>
      <c r="O30" s="50">
        <f t="shared" si="7"/>
        <v>122898.59473284888</v>
      </c>
      <c r="P30" s="49"/>
    </row>
    <row r="31" spans="2:16" ht="15.75" customHeight="1">
      <c r="B31" s="5">
        <v>25</v>
      </c>
      <c r="C31" s="7" t="s">
        <v>75</v>
      </c>
      <c r="D31" s="8">
        <v>97883</v>
      </c>
      <c r="E31" s="8">
        <f t="shared" si="2"/>
        <v>48941.5</v>
      </c>
      <c r="F31" s="39">
        <v>15650</v>
      </c>
      <c r="G31" s="39">
        <v>65480</v>
      </c>
      <c r="H31" s="8">
        <f t="shared" si="3"/>
        <v>68066.6</v>
      </c>
      <c r="I31" s="8">
        <v>0</v>
      </c>
      <c r="J31" s="25">
        <v>0</v>
      </c>
      <c r="K31" s="30">
        <f t="shared" si="0"/>
        <v>-19125.100000000006</v>
      </c>
      <c r="L31" s="50">
        <f t="shared" si="1"/>
        <v>93879.1886604279</v>
      </c>
      <c r="M31" s="50">
        <f t="shared" si="5"/>
        <v>52155.10481134883</v>
      </c>
      <c r="N31" s="51">
        <f t="shared" si="6"/>
        <v>68066.6</v>
      </c>
      <c r="O31" s="50">
        <v>0</v>
      </c>
      <c r="P31" s="49"/>
    </row>
    <row r="32" spans="2:16" ht="15.75" customHeight="1">
      <c r="B32" s="5">
        <v>26</v>
      </c>
      <c r="C32" s="7" t="s">
        <v>76</v>
      </c>
      <c r="D32" s="8">
        <v>124430</v>
      </c>
      <c r="E32" s="8">
        <f t="shared" si="2"/>
        <v>62215</v>
      </c>
      <c r="F32" s="39">
        <v>400</v>
      </c>
      <c r="G32" s="39">
        <v>85000</v>
      </c>
      <c r="H32" s="8">
        <f t="shared" si="3"/>
        <v>78400</v>
      </c>
      <c r="I32" s="8">
        <v>0</v>
      </c>
      <c r="J32" s="25">
        <v>0</v>
      </c>
      <c r="K32" s="30">
        <f t="shared" si="0"/>
        <v>-16185</v>
      </c>
      <c r="L32" s="50">
        <f t="shared" si="1"/>
        <v>119340.30878719538</v>
      </c>
      <c r="M32" s="50">
        <f t="shared" si="5"/>
        <v>66300.17154844187</v>
      </c>
      <c r="N32" s="51">
        <f t="shared" si="6"/>
        <v>78400</v>
      </c>
      <c r="O32" s="50">
        <v>0</v>
      </c>
      <c r="P32" s="49"/>
    </row>
    <row r="33" spans="2:16" ht="15.75" customHeight="1">
      <c r="B33" s="5">
        <v>27</v>
      </c>
      <c r="C33" s="7" t="s">
        <v>77</v>
      </c>
      <c r="D33" s="8">
        <v>475140</v>
      </c>
      <c r="E33" s="8">
        <f t="shared" si="2"/>
        <v>237570</v>
      </c>
      <c r="F33" s="39">
        <v>34030</v>
      </c>
      <c r="G33" s="39">
        <v>39250</v>
      </c>
      <c r="H33" s="8">
        <f t="shared" si="3"/>
        <v>53125</v>
      </c>
      <c r="I33" s="8">
        <f t="shared" si="4"/>
        <v>69032.01971011673</v>
      </c>
      <c r="J33" s="23">
        <v>88113.63176814202</v>
      </c>
      <c r="K33" s="30">
        <f t="shared" si="0"/>
        <v>27299.348521741253</v>
      </c>
      <c r="L33" s="50">
        <f t="shared" si="1"/>
        <v>455704.84864701447</v>
      </c>
      <c r="M33" s="50">
        <f t="shared" si="5"/>
        <v>253169.3603594525</v>
      </c>
      <c r="N33" s="51">
        <f t="shared" si="6"/>
        <v>53125</v>
      </c>
      <c r="O33" s="50">
        <f t="shared" si="7"/>
        <v>200044.3603594525</v>
      </c>
      <c r="P33" s="49"/>
    </row>
    <row r="34" spans="2:16" ht="15.75" customHeight="1" thickBot="1">
      <c r="B34" s="5">
        <v>28</v>
      </c>
      <c r="C34" s="7" t="s">
        <v>78</v>
      </c>
      <c r="D34" s="8">
        <v>255945</v>
      </c>
      <c r="E34" s="8">
        <f t="shared" si="2"/>
        <v>127972.5</v>
      </c>
      <c r="F34" s="39">
        <v>18488</v>
      </c>
      <c r="G34" s="39">
        <v>29440</v>
      </c>
      <c r="H34" s="8">
        <f t="shared" si="3"/>
        <v>36328.8</v>
      </c>
      <c r="I34" s="8">
        <f t="shared" si="4"/>
        <v>37185.67219073499</v>
      </c>
      <c r="J34" s="23">
        <v>39644.41572357013</v>
      </c>
      <c r="K34" s="32">
        <f t="shared" si="0"/>
        <v>14813.612085694876</v>
      </c>
      <c r="L34" s="50">
        <f t="shared" si="1"/>
        <v>245475.81236469277</v>
      </c>
      <c r="M34" s="50">
        <f t="shared" si="5"/>
        <v>136375.4513137182</v>
      </c>
      <c r="N34" s="51">
        <f t="shared" si="6"/>
        <v>36328.8</v>
      </c>
      <c r="O34" s="50">
        <f t="shared" si="7"/>
        <v>100046.65131371819</v>
      </c>
      <c r="P34" s="49"/>
    </row>
    <row r="35" spans="2:16" ht="15.75" thickBot="1">
      <c r="B35" s="5"/>
      <c r="C35" s="5" t="s">
        <v>79</v>
      </c>
      <c r="D35" s="6">
        <f>SUM(D7:D34)</f>
        <v>14388550</v>
      </c>
      <c r="E35" s="6">
        <f>SUM(E7:E34)</f>
        <v>7194275</v>
      </c>
      <c r="F35" s="40">
        <f>SUM(F7:F34)</f>
        <v>907848</v>
      </c>
      <c r="G35" s="40">
        <f>SUM(G7:G34)</f>
        <v>1529665</v>
      </c>
      <c r="H35" s="6">
        <f>SUM(H7:H34)</f>
        <v>1861215.8000000003</v>
      </c>
      <c r="I35" s="6">
        <f t="shared" si="4"/>
        <v>2090480</v>
      </c>
      <c r="J35" s="31">
        <f aca="true" t="shared" si="8" ref="J35:O35">SUM(J7:J34)</f>
        <v>2650000.0233987356</v>
      </c>
      <c r="K35" s="33">
        <f t="shared" si="8"/>
        <v>675532.3775728703</v>
      </c>
      <c r="L35" s="55">
        <f t="shared" si="8"/>
        <v>13800000</v>
      </c>
      <c r="M35" s="55">
        <f t="shared" si="8"/>
        <v>7666666.666666666</v>
      </c>
      <c r="N35" s="55">
        <f t="shared" si="8"/>
        <v>1861215.8000000003</v>
      </c>
      <c r="O35" s="55">
        <f t="shared" si="8"/>
        <v>5846790.097680448</v>
      </c>
      <c r="P35" s="49"/>
    </row>
    <row r="36" spans="7:10" ht="15">
      <c r="G36" s="2"/>
      <c r="H36" s="28">
        <f>E35-H35</f>
        <v>5333059.199999999</v>
      </c>
      <c r="I36" s="28">
        <f>H36-I35</f>
        <v>3242579.1999999993</v>
      </c>
      <c r="J36" s="24">
        <f>I36-J35</f>
        <v>592579.1766012637</v>
      </c>
    </row>
    <row r="37" spans="7:15" ht="38.25" customHeight="1">
      <c r="G37" s="2"/>
      <c r="H37" s="2"/>
      <c r="I37" s="17"/>
      <c r="L37" s="41">
        <v>13800000</v>
      </c>
      <c r="M37" s="42">
        <v>1.8</v>
      </c>
      <c r="N37" s="44" t="s">
        <v>5</v>
      </c>
      <c r="O37" s="2">
        <v>4700000</v>
      </c>
    </row>
    <row r="38" spans="2:15" ht="12">
      <c r="B38" s="16" t="s">
        <v>90</v>
      </c>
      <c r="C38" s="13" t="s">
        <v>88</v>
      </c>
      <c r="I38" s="18"/>
      <c r="J38" s="10"/>
      <c r="N38" s="44" t="s">
        <v>6</v>
      </c>
      <c r="O38" s="2">
        <v>470000</v>
      </c>
    </row>
    <row r="39" spans="3:15" ht="12.75" thickBot="1">
      <c r="C39" s="15" t="s">
        <v>89</v>
      </c>
      <c r="I39" s="18"/>
      <c r="J39" s="10"/>
      <c r="N39" s="44"/>
      <c r="O39" s="45">
        <f>SUM(O37:O38)</f>
        <v>5170000</v>
      </c>
    </row>
    <row r="40" spans="2:15" ht="31.5" customHeight="1">
      <c r="B40" s="11" t="s">
        <v>85</v>
      </c>
      <c r="D40" s="3"/>
      <c r="E40" s="3"/>
      <c r="F40" s="3"/>
      <c r="G40" s="159" t="s">
        <v>102</v>
      </c>
      <c r="H40" s="159"/>
      <c r="I40" s="159"/>
      <c r="L40" s="10"/>
      <c r="N40" s="44" t="s">
        <v>7</v>
      </c>
      <c r="O40" s="2">
        <f>O35-O39</f>
        <v>676790.0976804476</v>
      </c>
    </row>
    <row r="41" spans="2:9" ht="12">
      <c r="B41" s="13" t="s">
        <v>86</v>
      </c>
      <c r="D41" s="12"/>
      <c r="E41" s="12"/>
      <c r="F41" s="12"/>
      <c r="G41" s="27" t="s">
        <v>105</v>
      </c>
      <c r="I41" s="2"/>
    </row>
    <row r="42" spans="2:9" ht="12">
      <c r="B42" s="13" t="s">
        <v>98</v>
      </c>
      <c r="D42" s="13"/>
      <c r="E42" s="13"/>
      <c r="F42" s="13"/>
      <c r="G42" s="26" t="s">
        <v>106</v>
      </c>
      <c r="I42" s="2"/>
    </row>
    <row r="43" spans="2:7" ht="12">
      <c r="B43" s="13" t="s">
        <v>87</v>
      </c>
      <c r="D43" s="13"/>
      <c r="E43" s="13"/>
      <c r="F43" s="13"/>
      <c r="G43" s="26" t="s">
        <v>107</v>
      </c>
    </row>
    <row r="44" spans="2:7" ht="12">
      <c r="B44" s="13" t="s">
        <v>93</v>
      </c>
      <c r="D44" s="13"/>
      <c r="E44" s="13"/>
      <c r="F44" s="13"/>
      <c r="G44" s="27" t="s">
        <v>108</v>
      </c>
    </row>
    <row r="45" spans="2:7" ht="12">
      <c r="B45" s="13" t="s">
        <v>92</v>
      </c>
      <c r="D45" s="13"/>
      <c r="E45" s="13"/>
      <c r="F45" s="13"/>
      <c r="G45" s="27" t="s">
        <v>104</v>
      </c>
    </row>
    <row r="46" spans="2:7" ht="12">
      <c r="B46" s="13" t="s">
        <v>95</v>
      </c>
      <c r="G46" s="27" t="s">
        <v>0</v>
      </c>
    </row>
    <row r="47" spans="2:7" ht="12">
      <c r="B47" s="13" t="s">
        <v>96</v>
      </c>
      <c r="G47" s="27" t="s">
        <v>1</v>
      </c>
    </row>
    <row r="48" spans="2:7" ht="12">
      <c r="B48" s="13" t="s">
        <v>97</v>
      </c>
      <c r="G48" s="27"/>
    </row>
  </sheetData>
  <sheetProtection/>
  <mergeCells count="4">
    <mergeCell ref="B3:D3"/>
    <mergeCell ref="B4:G4"/>
    <mergeCell ref="B5:G5"/>
    <mergeCell ref="G40:I40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</dc:creator>
  <cp:keywords/>
  <dc:description/>
  <cp:lastModifiedBy>Natalie Stone</cp:lastModifiedBy>
  <cp:lastPrinted>2011-09-26T19:35:17Z</cp:lastPrinted>
  <dcterms:created xsi:type="dcterms:W3CDTF">2011-02-28T08:12:01Z</dcterms:created>
  <dcterms:modified xsi:type="dcterms:W3CDTF">2011-10-31T18:50:19Z</dcterms:modified>
  <cp:category/>
  <cp:version/>
  <cp:contentType/>
  <cp:contentStatus/>
</cp:coreProperties>
</file>