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 defaultThemeVersion="124226"/>
  <bookViews>
    <workbookView xWindow="0" yWindow="0" windowWidth="24240" windowHeight="12360" tabRatio="910"/>
  </bookViews>
  <sheets>
    <sheet name="Ghana-CostDriverInput" sheetId="8" r:id="rId1"/>
    <sheet name="AMF Budget Summary  Non Nets" sheetId="12" r:id="rId2"/>
    <sheet name="Timeline" sheetId="13" r:id="rId3"/>
    <sheet name="Staff Detail" sheetId="14" r:id="rId4"/>
  </sheets>
  <externalReferences>
    <externalReference r:id="rId5"/>
  </externalReferenc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14" l="1"/>
  <c r="L32" i="14"/>
  <c r="C31" i="14"/>
  <c r="L31" i="14"/>
  <c r="B30" i="14"/>
  <c r="C30" i="14"/>
  <c r="L30" i="14"/>
  <c r="C29" i="14"/>
  <c r="L29" i="14"/>
  <c r="B28" i="14"/>
  <c r="C28" i="14"/>
  <c r="L28" i="14"/>
  <c r="B27" i="14"/>
  <c r="C27" i="14"/>
  <c r="L27" i="14"/>
  <c r="B26" i="14"/>
  <c r="C26" i="14"/>
  <c r="L26" i="14"/>
  <c r="B25" i="14"/>
  <c r="C25" i="14"/>
  <c r="L25" i="14"/>
  <c r="B15" i="14"/>
  <c r="B16" i="14"/>
  <c r="P515" i="8"/>
  <c r="T515" i="8"/>
  <c r="V515" i="8"/>
  <c r="AB515" i="8"/>
  <c r="AD515" i="8"/>
  <c r="AC515" i="8"/>
  <c r="P513" i="8"/>
  <c r="T513" i="8"/>
  <c r="V513" i="8"/>
  <c r="P514" i="8"/>
  <c r="T514" i="8"/>
  <c r="V514" i="8"/>
  <c r="T512" i="8"/>
  <c r="V512" i="8"/>
  <c r="T516" i="8"/>
  <c r="V516" i="8"/>
  <c r="T517" i="8"/>
  <c r="V517" i="8"/>
  <c r="V518" i="8"/>
  <c r="P505" i="8"/>
  <c r="T505" i="8"/>
  <c r="V505" i="8"/>
  <c r="P500" i="8"/>
  <c r="T500" i="8"/>
  <c r="V500" i="8"/>
  <c r="B36" i="14"/>
  <c r="P501" i="8"/>
  <c r="T501" i="8"/>
  <c r="V501" i="8"/>
  <c r="P502" i="8"/>
  <c r="T502" i="8"/>
  <c r="V502" i="8"/>
  <c r="P503" i="8"/>
  <c r="T503" i="8"/>
  <c r="V503" i="8"/>
  <c r="P504" i="8"/>
  <c r="T504" i="8"/>
  <c r="V504" i="8"/>
  <c r="P506" i="8"/>
  <c r="T506" i="8"/>
  <c r="V506" i="8"/>
  <c r="T507" i="8"/>
  <c r="V507" i="8"/>
  <c r="T508" i="8"/>
  <c r="V508" i="8"/>
  <c r="V509" i="8"/>
  <c r="V4" i="8"/>
  <c r="F437" i="8"/>
  <c r="T437" i="8"/>
  <c r="V437" i="8"/>
  <c r="N438" i="8"/>
  <c r="F438" i="8"/>
  <c r="T438" i="8"/>
  <c r="V438" i="8"/>
  <c r="V439" i="8"/>
  <c r="B20" i="14"/>
  <c r="P417" i="8"/>
  <c r="T417" i="8"/>
  <c r="V417" i="8"/>
  <c r="B21" i="14"/>
  <c r="P418" i="8"/>
  <c r="T418" i="8"/>
  <c r="V418" i="8"/>
  <c r="B9" i="14"/>
  <c r="B10" i="14"/>
  <c r="P420" i="8"/>
  <c r="J420" i="8"/>
  <c r="T420" i="8"/>
  <c r="V420" i="8"/>
  <c r="P421" i="8"/>
  <c r="T421" i="8"/>
  <c r="V421" i="8"/>
  <c r="T416" i="8"/>
  <c r="V416" i="8"/>
  <c r="T419" i="8"/>
  <c r="V419" i="8"/>
  <c r="T422" i="8"/>
  <c r="V422" i="8"/>
  <c r="V423" i="8"/>
  <c r="F426" i="8"/>
  <c r="T426" i="8"/>
  <c r="V426" i="8"/>
  <c r="F427" i="8"/>
  <c r="T427" i="8"/>
  <c r="V427" i="8"/>
  <c r="P428" i="8"/>
  <c r="T428" i="8"/>
  <c r="V428" i="8"/>
  <c r="T429" i="8"/>
  <c r="V429" i="8"/>
  <c r="T430" i="8"/>
  <c r="V430" i="8"/>
  <c r="P432" i="8"/>
  <c r="T432" i="8"/>
  <c r="V432" i="8"/>
  <c r="P433" i="8"/>
  <c r="T433" i="8"/>
  <c r="V433" i="8"/>
  <c r="V434" i="8"/>
  <c r="V441" i="8"/>
  <c r="P539" i="8"/>
  <c r="T539" i="8"/>
  <c r="V539" i="8"/>
  <c r="P540" i="8"/>
  <c r="T540" i="8"/>
  <c r="V540" i="8"/>
  <c r="P541" i="8"/>
  <c r="T541" i="8"/>
  <c r="V541" i="8"/>
  <c r="B37" i="14"/>
  <c r="P542" i="8"/>
  <c r="T542" i="8"/>
  <c r="V542" i="8"/>
  <c r="C44" i="14"/>
  <c r="B44" i="14"/>
  <c r="P543" i="8"/>
  <c r="T543" i="8"/>
  <c r="V543" i="8"/>
  <c r="T544" i="8"/>
  <c r="V544" i="8"/>
  <c r="V545" i="8"/>
  <c r="P533" i="8"/>
  <c r="T533" i="8"/>
  <c r="V533" i="8"/>
  <c r="P534" i="8"/>
  <c r="T534" i="8"/>
  <c r="V534" i="8"/>
  <c r="P535" i="8"/>
  <c r="T535" i="8"/>
  <c r="V535" i="8"/>
  <c r="V536" i="8"/>
  <c r="P522" i="8"/>
  <c r="T522" i="8"/>
  <c r="V522" i="8"/>
  <c r="P523" i="8"/>
  <c r="J523" i="8"/>
  <c r="T523" i="8"/>
  <c r="V523" i="8"/>
  <c r="P524" i="8"/>
  <c r="T524" i="8"/>
  <c r="V524" i="8"/>
  <c r="P525" i="8"/>
  <c r="T525" i="8"/>
  <c r="V525" i="8"/>
  <c r="P528" i="8"/>
  <c r="T528" i="8"/>
  <c r="V528" i="8"/>
  <c r="T527" i="8"/>
  <c r="V527" i="8"/>
  <c r="T529" i="8"/>
  <c r="V529" i="8"/>
  <c r="V530" i="8"/>
  <c r="P447" i="8"/>
  <c r="P455" i="8"/>
  <c r="P465" i="8"/>
  <c r="T465" i="8"/>
  <c r="V465" i="8"/>
  <c r="P467" i="8"/>
  <c r="T467" i="8"/>
  <c r="V467" i="8"/>
  <c r="F466" i="8"/>
  <c r="T466" i="8"/>
  <c r="V466" i="8"/>
  <c r="F468" i="8"/>
  <c r="T468" i="8"/>
  <c r="V468" i="8"/>
  <c r="T469" i="8"/>
  <c r="V469" i="8"/>
  <c r="V470" i="8"/>
  <c r="T455" i="8"/>
  <c r="V455" i="8"/>
  <c r="P458" i="8"/>
  <c r="T458" i="8"/>
  <c r="V458" i="8"/>
  <c r="P459" i="8"/>
  <c r="T459" i="8"/>
  <c r="V459" i="8"/>
  <c r="F456" i="8"/>
  <c r="T456" i="8"/>
  <c r="V456" i="8"/>
  <c r="T457" i="8"/>
  <c r="V457" i="8"/>
  <c r="F460" i="8"/>
  <c r="T460" i="8"/>
  <c r="V460" i="8"/>
  <c r="J461" i="8"/>
  <c r="T461" i="8"/>
  <c r="V461" i="8"/>
  <c r="V462" i="8"/>
  <c r="P446" i="8"/>
  <c r="T446" i="8"/>
  <c r="V446" i="8"/>
  <c r="T447" i="8"/>
  <c r="V447" i="8"/>
  <c r="B14" i="14"/>
  <c r="P448" i="8"/>
  <c r="T448" i="8"/>
  <c r="V448" i="8"/>
  <c r="P449" i="8"/>
  <c r="T449" i="8"/>
  <c r="V449" i="8"/>
  <c r="T450" i="8"/>
  <c r="V450" i="8"/>
  <c r="T451" i="8"/>
  <c r="V451" i="8"/>
  <c r="V452" i="8"/>
  <c r="B38" i="14"/>
  <c r="P552" i="8"/>
  <c r="P557" i="8"/>
  <c r="P562" i="8"/>
  <c r="T562" i="8"/>
  <c r="V562" i="8"/>
  <c r="C43" i="14"/>
  <c r="B43" i="14"/>
  <c r="P563" i="8"/>
  <c r="T563" i="8"/>
  <c r="V563" i="8"/>
  <c r="C45" i="14"/>
  <c r="B45" i="14"/>
  <c r="P564" i="8"/>
  <c r="T564" i="8"/>
  <c r="V564" i="8"/>
  <c r="T565" i="8"/>
  <c r="V565" i="8"/>
  <c r="V566" i="8"/>
  <c r="P323" i="8"/>
  <c r="P482" i="8"/>
  <c r="T482" i="8"/>
  <c r="V482" i="8"/>
  <c r="F483" i="8"/>
  <c r="T483" i="8"/>
  <c r="V483" i="8"/>
  <c r="T484" i="8"/>
  <c r="V484" i="8"/>
  <c r="P485" i="8"/>
  <c r="T485" i="8"/>
  <c r="V485" i="8"/>
  <c r="P486" i="8"/>
  <c r="T486" i="8"/>
  <c r="V486" i="8"/>
  <c r="P487" i="8"/>
  <c r="T487" i="8"/>
  <c r="V487" i="8"/>
  <c r="T488" i="8"/>
  <c r="V488" i="8"/>
  <c r="P489" i="8"/>
  <c r="T489" i="8"/>
  <c r="V489" i="8"/>
  <c r="P490" i="8"/>
  <c r="T490" i="8"/>
  <c r="V490" i="8"/>
  <c r="P491" i="8"/>
  <c r="T491" i="8"/>
  <c r="V491" i="8"/>
  <c r="T492" i="8"/>
  <c r="V492" i="8"/>
  <c r="T493" i="8"/>
  <c r="V493" i="8"/>
  <c r="F494" i="8"/>
  <c r="T494" i="8"/>
  <c r="V494" i="8"/>
  <c r="V495" i="8"/>
  <c r="F474" i="8"/>
  <c r="T474" i="8"/>
  <c r="V474" i="8"/>
  <c r="T475" i="8"/>
  <c r="V475" i="8"/>
  <c r="T476" i="8"/>
  <c r="V476" i="8"/>
  <c r="T477" i="8"/>
  <c r="V477" i="8"/>
  <c r="T478" i="8"/>
  <c r="V478" i="8"/>
  <c r="V479" i="8"/>
  <c r="V568" i="8"/>
  <c r="V576" i="8"/>
  <c r="V577" i="8"/>
  <c r="V580" i="8"/>
  <c r="V581" i="8"/>
  <c r="V584" i="8"/>
  <c r="V585" i="8"/>
  <c r="V582" i="8"/>
  <c r="V578" i="8"/>
  <c r="V587" i="8"/>
  <c r="V597" i="8"/>
  <c r="P263" i="8"/>
  <c r="T263" i="8"/>
  <c r="V263" i="8"/>
  <c r="P264" i="8"/>
  <c r="T264" i="8"/>
  <c r="V264" i="8"/>
  <c r="P265" i="8"/>
  <c r="T265" i="8"/>
  <c r="V265" i="8"/>
  <c r="P267" i="8"/>
  <c r="T267" i="8"/>
  <c r="V267" i="8"/>
  <c r="P268" i="8"/>
  <c r="T268" i="8"/>
  <c r="V268" i="8"/>
  <c r="P269" i="8"/>
  <c r="T269" i="8"/>
  <c r="V269" i="8"/>
  <c r="P271" i="8"/>
  <c r="T271" i="8"/>
  <c r="V271" i="8"/>
  <c r="P272" i="8"/>
  <c r="T272" i="8"/>
  <c r="V272" i="8"/>
  <c r="P273" i="8"/>
  <c r="T273" i="8"/>
  <c r="V273" i="8"/>
  <c r="P274" i="8"/>
  <c r="T274" i="8"/>
  <c r="V274" i="8"/>
  <c r="P276" i="8"/>
  <c r="F276" i="8"/>
  <c r="T276" i="8"/>
  <c r="V276" i="8"/>
  <c r="P277" i="8"/>
  <c r="T277" i="8"/>
  <c r="V277" i="8"/>
  <c r="T278" i="8"/>
  <c r="V278" i="8"/>
  <c r="V279" i="8"/>
  <c r="P286" i="8"/>
  <c r="P291" i="8"/>
  <c r="P296" i="8"/>
  <c r="T296" i="8"/>
  <c r="V296" i="8"/>
  <c r="P297" i="8"/>
  <c r="T297" i="8"/>
  <c r="V297" i="8"/>
  <c r="P298" i="8"/>
  <c r="T298" i="8"/>
  <c r="V298" i="8"/>
  <c r="T299" i="8"/>
  <c r="V299" i="8"/>
  <c r="V300" i="8"/>
  <c r="V302" i="8"/>
  <c r="V595" i="8"/>
  <c r="P242" i="8"/>
  <c r="P247" i="8"/>
  <c r="P252" i="8"/>
  <c r="T252" i="8"/>
  <c r="V252" i="8"/>
  <c r="P253" i="8"/>
  <c r="T253" i="8"/>
  <c r="V253" i="8"/>
  <c r="P254" i="8"/>
  <c r="T254" i="8"/>
  <c r="V254" i="8"/>
  <c r="T255" i="8"/>
  <c r="V255" i="8"/>
  <c r="V256" i="8"/>
  <c r="P92" i="8"/>
  <c r="P105" i="8"/>
  <c r="T105" i="8"/>
  <c r="V105" i="8"/>
  <c r="P106" i="8"/>
  <c r="T106" i="8"/>
  <c r="V106" i="8"/>
  <c r="P99" i="8"/>
  <c r="P107" i="8"/>
  <c r="T107" i="8"/>
  <c r="V107" i="8"/>
  <c r="T108" i="8"/>
  <c r="V108" i="8"/>
  <c r="V109" i="8"/>
  <c r="T92" i="8"/>
  <c r="V92" i="8"/>
  <c r="P93" i="8"/>
  <c r="T93" i="8"/>
  <c r="V93" i="8"/>
  <c r="B8" i="14"/>
  <c r="P94" i="8"/>
  <c r="T94" i="8"/>
  <c r="V94" i="8"/>
  <c r="P95" i="8"/>
  <c r="T95" i="8"/>
  <c r="V95" i="8"/>
  <c r="P96" i="8"/>
  <c r="T96" i="8"/>
  <c r="V96" i="8"/>
  <c r="P97" i="8"/>
  <c r="T97" i="8"/>
  <c r="V97" i="8"/>
  <c r="P85" i="8"/>
  <c r="P98" i="8"/>
  <c r="T98" i="8"/>
  <c r="V98" i="8"/>
  <c r="F99" i="8"/>
  <c r="T99" i="8"/>
  <c r="V99" i="8"/>
  <c r="T100" i="8"/>
  <c r="V100" i="8"/>
  <c r="V101" i="8"/>
  <c r="P73" i="8"/>
  <c r="T73" i="8"/>
  <c r="V73" i="8"/>
  <c r="P74" i="8"/>
  <c r="T74" i="8"/>
  <c r="V74" i="8"/>
  <c r="P75" i="8"/>
  <c r="T75" i="8"/>
  <c r="V75" i="8"/>
  <c r="P76" i="8"/>
  <c r="T76" i="8"/>
  <c r="V76" i="8"/>
  <c r="P77" i="8"/>
  <c r="T77" i="8"/>
  <c r="V77" i="8"/>
  <c r="P78" i="8"/>
  <c r="T78" i="8"/>
  <c r="V78" i="8"/>
  <c r="P81" i="8"/>
  <c r="T81" i="8"/>
  <c r="V81" i="8"/>
  <c r="P82" i="8"/>
  <c r="J82" i="8"/>
  <c r="T82" i="8"/>
  <c r="V82" i="8"/>
  <c r="T85" i="8"/>
  <c r="V85" i="8"/>
  <c r="P86" i="8"/>
  <c r="F86" i="8"/>
  <c r="T86" i="8"/>
  <c r="V86" i="8"/>
  <c r="F87" i="8"/>
  <c r="T87" i="8"/>
  <c r="V87" i="8"/>
  <c r="T88" i="8"/>
  <c r="V88" i="8"/>
  <c r="T83" i="8"/>
  <c r="V83" i="8"/>
  <c r="V89" i="8"/>
  <c r="P65" i="8"/>
  <c r="T65" i="8"/>
  <c r="V65" i="8"/>
  <c r="P66" i="8"/>
  <c r="T66" i="8"/>
  <c r="V66" i="8"/>
  <c r="P67" i="8"/>
  <c r="T67" i="8"/>
  <c r="V67" i="8"/>
  <c r="T68" i="8"/>
  <c r="V68" i="8"/>
  <c r="V69" i="8"/>
  <c r="P36" i="8"/>
  <c r="T36" i="8"/>
  <c r="V36" i="8"/>
  <c r="P37" i="8"/>
  <c r="T37" i="8"/>
  <c r="V37" i="8"/>
  <c r="P38" i="8"/>
  <c r="T38" i="8"/>
  <c r="V38" i="8"/>
  <c r="P39" i="8"/>
  <c r="T39" i="8"/>
  <c r="V39" i="8"/>
  <c r="P40" i="8"/>
  <c r="T40" i="8"/>
  <c r="V40" i="8"/>
  <c r="P41" i="8"/>
  <c r="T41" i="8"/>
  <c r="V41" i="8"/>
  <c r="P42" i="8"/>
  <c r="T42" i="8"/>
  <c r="V42" i="8"/>
  <c r="P43" i="8"/>
  <c r="F43" i="8"/>
  <c r="T43" i="8"/>
  <c r="V43" i="8"/>
  <c r="T44" i="8"/>
  <c r="V44" i="8"/>
  <c r="V45" i="8"/>
  <c r="P23" i="8"/>
  <c r="T23" i="8"/>
  <c r="V23" i="8"/>
  <c r="P24" i="8"/>
  <c r="T24" i="8"/>
  <c r="V24" i="8"/>
  <c r="P25" i="8"/>
  <c r="T25" i="8"/>
  <c r="V25" i="8"/>
  <c r="P26" i="8"/>
  <c r="J26" i="8"/>
  <c r="T26" i="8"/>
  <c r="V26" i="8"/>
  <c r="P27" i="8"/>
  <c r="F27" i="8"/>
  <c r="J27" i="8"/>
  <c r="T27" i="8"/>
  <c r="V27" i="8"/>
  <c r="T29" i="8"/>
  <c r="V29" i="8"/>
  <c r="T30" i="8"/>
  <c r="V30" i="8"/>
  <c r="T31" i="8"/>
  <c r="V31" i="8"/>
  <c r="V32" i="8"/>
  <c r="P113" i="8"/>
  <c r="T113" i="8"/>
  <c r="V113" i="8"/>
  <c r="P114" i="8"/>
  <c r="T114" i="8"/>
  <c r="V114" i="8"/>
  <c r="P115" i="8"/>
  <c r="T115" i="8"/>
  <c r="V115" i="8"/>
  <c r="P116" i="8"/>
  <c r="T116" i="8"/>
  <c r="V116" i="8"/>
  <c r="P117" i="8"/>
  <c r="T117" i="8"/>
  <c r="V117" i="8"/>
  <c r="P118" i="8"/>
  <c r="T118" i="8"/>
  <c r="V118" i="8"/>
  <c r="P120" i="8"/>
  <c r="F120" i="8"/>
  <c r="T120" i="8"/>
  <c r="V120" i="8"/>
  <c r="T121" i="8"/>
  <c r="V121" i="8"/>
  <c r="V122" i="8"/>
  <c r="P126" i="8"/>
  <c r="T126" i="8"/>
  <c r="V126" i="8"/>
  <c r="P127" i="8"/>
  <c r="T127" i="8"/>
  <c r="V127" i="8"/>
  <c r="P128" i="8"/>
  <c r="T128" i="8"/>
  <c r="V128" i="8"/>
  <c r="P130" i="8"/>
  <c r="T130" i="8"/>
  <c r="V130" i="8"/>
  <c r="P131" i="8"/>
  <c r="T131" i="8"/>
  <c r="V131" i="8"/>
  <c r="P132" i="8"/>
  <c r="T132" i="8"/>
  <c r="V132" i="8"/>
  <c r="P133" i="8"/>
  <c r="T133" i="8"/>
  <c r="V133" i="8"/>
  <c r="P135" i="8"/>
  <c r="T135" i="8"/>
  <c r="V135" i="8"/>
  <c r="P136" i="8"/>
  <c r="T136" i="8"/>
  <c r="V136" i="8"/>
  <c r="P137" i="8"/>
  <c r="T137" i="8"/>
  <c r="V137" i="8"/>
  <c r="P138" i="8"/>
  <c r="T138" i="8"/>
  <c r="V138" i="8"/>
  <c r="P139" i="8"/>
  <c r="T139" i="8"/>
  <c r="V139" i="8"/>
  <c r="P141" i="8"/>
  <c r="F141" i="8"/>
  <c r="T141" i="8"/>
  <c r="V141" i="8"/>
  <c r="T129" i="8"/>
  <c r="V129" i="8"/>
  <c r="T134" i="8"/>
  <c r="V134" i="8"/>
  <c r="T142" i="8"/>
  <c r="V142" i="8"/>
  <c r="V143" i="8"/>
  <c r="P48" i="8"/>
  <c r="T48" i="8"/>
  <c r="V48" i="8"/>
  <c r="T49" i="8"/>
  <c r="V49" i="8"/>
  <c r="V62" i="8"/>
  <c r="V146" i="8"/>
  <c r="V257" i="8"/>
  <c r="V593" i="8"/>
  <c r="P376" i="8"/>
  <c r="J376" i="8"/>
  <c r="T376" i="8"/>
  <c r="V376" i="8"/>
  <c r="F377" i="8"/>
  <c r="J377" i="8"/>
  <c r="P377" i="8"/>
  <c r="T377" i="8"/>
  <c r="V377" i="8"/>
  <c r="P378" i="8"/>
  <c r="J378" i="8"/>
  <c r="T378" i="8"/>
  <c r="V378" i="8"/>
  <c r="J379" i="8"/>
  <c r="T379" i="8"/>
  <c r="V379" i="8"/>
  <c r="J380" i="8"/>
  <c r="T380" i="8"/>
  <c r="V380" i="8"/>
  <c r="J381" i="8"/>
  <c r="P381" i="8"/>
  <c r="T381" i="8"/>
  <c r="V381" i="8"/>
  <c r="J382" i="8"/>
  <c r="P382" i="8"/>
  <c r="T382" i="8"/>
  <c r="V382" i="8"/>
  <c r="P383" i="8"/>
  <c r="T383" i="8"/>
  <c r="V383" i="8"/>
  <c r="V384" i="8"/>
  <c r="P362" i="8"/>
  <c r="T362" i="8"/>
  <c r="V362" i="8"/>
  <c r="P363" i="8"/>
  <c r="T363" i="8"/>
  <c r="V363" i="8"/>
  <c r="P364" i="8"/>
  <c r="T364" i="8"/>
  <c r="V364" i="8"/>
  <c r="P365" i="8"/>
  <c r="T365" i="8"/>
  <c r="V365" i="8"/>
  <c r="P366" i="8"/>
  <c r="T366" i="8"/>
  <c r="V366" i="8"/>
  <c r="P368" i="8"/>
  <c r="F368" i="8"/>
  <c r="T368" i="8"/>
  <c r="V368" i="8"/>
  <c r="T367" i="8"/>
  <c r="V367" i="8"/>
  <c r="F369" i="8"/>
  <c r="T369" i="8"/>
  <c r="V369" i="8"/>
  <c r="T370" i="8"/>
  <c r="V370" i="8"/>
  <c r="T371" i="8"/>
  <c r="V371" i="8"/>
  <c r="T372" i="8"/>
  <c r="V372" i="8"/>
  <c r="V373" i="8"/>
  <c r="P342" i="8"/>
  <c r="T342" i="8"/>
  <c r="V342" i="8"/>
  <c r="P343" i="8"/>
  <c r="T343" i="8"/>
  <c r="V343" i="8"/>
  <c r="P344" i="8"/>
  <c r="T344" i="8"/>
  <c r="V344" i="8"/>
  <c r="P345" i="8"/>
  <c r="T345" i="8"/>
  <c r="V345" i="8"/>
  <c r="P346" i="8"/>
  <c r="T346" i="8"/>
  <c r="V346" i="8"/>
  <c r="P347" i="8"/>
  <c r="T347" i="8"/>
  <c r="V347" i="8"/>
  <c r="P348" i="8"/>
  <c r="T348" i="8"/>
  <c r="V348" i="8"/>
  <c r="P349" i="8"/>
  <c r="T349" i="8"/>
  <c r="V349" i="8"/>
  <c r="P350" i="8"/>
  <c r="T350" i="8"/>
  <c r="V350" i="8"/>
  <c r="P354" i="8"/>
  <c r="F354" i="8"/>
  <c r="T354" i="8"/>
  <c r="V354" i="8"/>
  <c r="T351" i="8"/>
  <c r="V351" i="8"/>
  <c r="F352" i="8"/>
  <c r="T352" i="8"/>
  <c r="V352" i="8"/>
  <c r="P353" i="8"/>
  <c r="T353" i="8"/>
  <c r="V353" i="8"/>
  <c r="T355" i="8"/>
  <c r="V355" i="8"/>
  <c r="V356" i="8"/>
  <c r="P391" i="8"/>
  <c r="P396" i="8"/>
  <c r="P401" i="8"/>
  <c r="T401" i="8"/>
  <c r="V401" i="8"/>
  <c r="P402" i="8"/>
  <c r="T402" i="8"/>
  <c r="V402" i="8"/>
  <c r="P403" i="8"/>
  <c r="T403" i="8"/>
  <c r="V403" i="8"/>
  <c r="T404" i="8"/>
  <c r="V404" i="8"/>
  <c r="V405" i="8"/>
  <c r="V408" i="8"/>
  <c r="V599" i="8"/>
  <c r="V13" i="8"/>
  <c r="V591" i="8"/>
  <c r="V601" i="8"/>
  <c r="Z515" i="8"/>
  <c r="X515" i="8"/>
  <c r="R515" i="8"/>
  <c r="AB505" i="8"/>
  <c r="AD505" i="8"/>
  <c r="AC505" i="8"/>
  <c r="Z505" i="8"/>
  <c r="X505" i="8"/>
  <c r="R505" i="8"/>
  <c r="P321" i="8"/>
  <c r="T321" i="8"/>
  <c r="V321" i="8"/>
  <c r="AB321" i="8"/>
  <c r="AD321" i="8"/>
  <c r="AC321" i="8"/>
  <c r="Z321" i="8"/>
  <c r="X321" i="8"/>
  <c r="R321" i="8"/>
  <c r="AC79" i="12"/>
  <c r="Y79" i="12"/>
  <c r="W79" i="12"/>
  <c r="V79" i="12"/>
  <c r="S79" i="12"/>
  <c r="Q79" i="12"/>
  <c r="P79" i="12"/>
  <c r="N79" i="12"/>
  <c r="AC54" i="12"/>
  <c r="AD54" i="12"/>
  <c r="Y54" i="12"/>
  <c r="W54" i="12"/>
  <c r="S54" i="12"/>
  <c r="Q54" i="12"/>
  <c r="P54" i="12"/>
  <c r="N54" i="12"/>
  <c r="X437" i="8"/>
  <c r="X438" i="8"/>
  <c r="X439" i="8"/>
  <c r="X418" i="8"/>
  <c r="X420" i="8"/>
  <c r="X421" i="8"/>
  <c r="X419" i="8"/>
  <c r="X422" i="8"/>
  <c r="X423" i="8"/>
  <c r="X426" i="8"/>
  <c r="X427" i="8"/>
  <c r="X428" i="8"/>
  <c r="X429" i="8"/>
  <c r="X430" i="8"/>
  <c r="X432" i="8"/>
  <c r="X433" i="8"/>
  <c r="X434" i="8"/>
  <c r="X441" i="8"/>
  <c r="X539" i="8"/>
  <c r="X540" i="8"/>
  <c r="X541" i="8"/>
  <c r="X542" i="8"/>
  <c r="X543" i="8"/>
  <c r="X544" i="8"/>
  <c r="X545" i="8"/>
  <c r="X533" i="8"/>
  <c r="X534" i="8"/>
  <c r="X535" i="8"/>
  <c r="X536" i="8"/>
  <c r="X522" i="8"/>
  <c r="X523" i="8"/>
  <c r="X524" i="8"/>
  <c r="X525" i="8"/>
  <c r="X528" i="8"/>
  <c r="X527" i="8"/>
  <c r="X529" i="8"/>
  <c r="X530" i="8"/>
  <c r="X513" i="8"/>
  <c r="X514" i="8"/>
  <c r="X512" i="8"/>
  <c r="X516" i="8"/>
  <c r="X517" i="8"/>
  <c r="X518" i="8"/>
  <c r="X500" i="8"/>
  <c r="X501" i="8"/>
  <c r="X502" i="8"/>
  <c r="X503" i="8"/>
  <c r="X504" i="8"/>
  <c r="X506" i="8"/>
  <c r="X507" i="8"/>
  <c r="X508" i="8"/>
  <c r="X509" i="8"/>
  <c r="X482" i="8"/>
  <c r="X483" i="8"/>
  <c r="X484" i="8"/>
  <c r="X485" i="8"/>
  <c r="X486" i="8"/>
  <c r="X487" i="8"/>
  <c r="X488" i="8"/>
  <c r="X489" i="8"/>
  <c r="X490" i="8"/>
  <c r="X491" i="8"/>
  <c r="X492" i="8"/>
  <c r="X493" i="8"/>
  <c r="X494" i="8"/>
  <c r="X495" i="8"/>
  <c r="X465" i="8"/>
  <c r="X467" i="8"/>
  <c r="X466" i="8"/>
  <c r="X468" i="8"/>
  <c r="X469" i="8"/>
  <c r="X470" i="8"/>
  <c r="X455" i="8"/>
  <c r="X458" i="8"/>
  <c r="X459" i="8"/>
  <c r="X456" i="8"/>
  <c r="X457" i="8"/>
  <c r="X460" i="8"/>
  <c r="X461" i="8"/>
  <c r="X462" i="8"/>
  <c r="X446" i="8"/>
  <c r="X447" i="8"/>
  <c r="X448" i="8"/>
  <c r="X449" i="8"/>
  <c r="X450" i="8"/>
  <c r="X451" i="8"/>
  <c r="X452" i="8"/>
  <c r="P549" i="8"/>
  <c r="T549" i="8"/>
  <c r="V549" i="8"/>
  <c r="X549" i="8"/>
  <c r="P550" i="8"/>
  <c r="T550" i="8"/>
  <c r="V550" i="8"/>
  <c r="X550" i="8"/>
  <c r="P551" i="8"/>
  <c r="T551" i="8"/>
  <c r="V551" i="8"/>
  <c r="X551" i="8"/>
  <c r="T552" i="8"/>
  <c r="V552" i="8"/>
  <c r="X552" i="8"/>
  <c r="P554" i="8"/>
  <c r="T554" i="8"/>
  <c r="V554" i="8"/>
  <c r="X554" i="8"/>
  <c r="P555" i="8"/>
  <c r="T555" i="8"/>
  <c r="V555" i="8"/>
  <c r="X555" i="8"/>
  <c r="P556" i="8"/>
  <c r="T556" i="8"/>
  <c r="V556" i="8"/>
  <c r="X556" i="8"/>
  <c r="T557" i="8"/>
  <c r="V557" i="8"/>
  <c r="X557" i="8"/>
  <c r="P559" i="8"/>
  <c r="T559" i="8"/>
  <c r="V559" i="8"/>
  <c r="X559" i="8"/>
  <c r="P560" i="8"/>
  <c r="T560" i="8"/>
  <c r="V560" i="8"/>
  <c r="X560" i="8"/>
  <c r="P561" i="8"/>
  <c r="T561" i="8"/>
  <c r="V561" i="8"/>
  <c r="X561" i="8"/>
  <c r="X562" i="8"/>
  <c r="X563" i="8"/>
  <c r="X564" i="8"/>
  <c r="X565" i="8"/>
  <c r="X566" i="8"/>
  <c r="X474" i="8"/>
  <c r="X475" i="8"/>
  <c r="X476" i="8"/>
  <c r="X477" i="8"/>
  <c r="X478" i="8"/>
  <c r="X479" i="8"/>
  <c r="X568" i="8"/>
  <c r="T439" i="8"/>
  <c r="T423" i="8"/>
  <c r="T434" i="8"/>
  <c r="T441" i="8"/>
  <c r="T545" i="8"/>
  <c r="T536" i="8"/>
  <c r="T530" i="8"/>
  <c r="T518" i="8"/>
  <c r="T509" i="8"/>
  <c r="T495" i="8"/>
  <c r="T470" i="8"/>
  <c r="T462" i="8"/>
  <c r="T452" i="8"/>
  <c r="T566" i="8"/>
  <c r="T479" i="8"/>
  <c r="T568" i="8"/>
  <c r="AB437" i="8"/>
  <c r="AD437" i="8"/>
  <c r="AB438" i="8"/>
  <c r="AD438" i="8"/>
  <c r="AD439" i="8"/>
  <c r="AB417" i="8"/>
  <c r="AD417" i="8"/>
  <c r="AB418" i="8"/>
  <c r="AD418" i="8"/>
  <c r="AB420" i="8"/>
  <c r="AD420" i="8"/>
  <c r="AB421" i="8"/>
  <c r="AD421" i="8"/>
  <c r="AB416" i="8"/>
  <c r="AD416" i="8"/>
  <c r="AB419" i="8"/>
  <c r="AD419" i="8"/>
  <c r="AB422" i="8"/>
  <c r="AD422" i="8"/>
  <c r="AD423" i="8"/>
  <c r="AB426" i="8"/>
  <c r="AD426" i="8"/>
  <c r="AB427" i="8"/>
  <c r="AD427" i="8"/>
  <c r="AB428" i="8"/>
  <c r="AD428" i="8"/>
  <c r="AB429" i="8"/>
  <c r="AD429" i="8"/>
  <c r="AB430" i="8"/>
  <c r="AD430" i="8"/>
  <c r="AB432" i="8"/>
  <c r="AD432" i="8"/>
  <c r="AB433" i="8"/>
  <c r="AD433" i="8"/>
  <c r="AD434" i="8"/>
  <c r="AD441" i="8"/>
  <c r="AB539" i="8"/>
  <c r="AB540" i="8"/>
  <c r="AB541" i="8"/>
  <c r="AB542" i="8"/>
  <c r="AB543" i="8"/>
  <c r="AB544" i="8"/>
  <c r="AB545" i="8"/>
  <c r="AD545" i="8"/>
  <c r="AB533" i="8"/>
  <c r="AB534" i="8"/>
  <c r="AB535" i="8"/>
  <c r="AB536" i="8"/>
  <c r="AD536" i="8"/>
  <c r="AB522" i="8"/>
  <c r="AD522" i="8"/>
  <c r="AB523" i="8"/>
  <c r="AD523" i="8"/>
  <c r="AB524" i="8"/>
  <c r="AD524" i="8"/>
  <c r="AB525" i="8"/>
  <c r="AD525" i="8"/>
  <c r="AB528" i="8"/>
  <c r="AD528" i="8"/>
  <c r="AB527" i="8"/>
  <c r="AD527" i="8"/>
  <c r="AB529" i="8"/>
  <c r="AD529" i="8"/>
  <c r="AD530" i="8"/>
  <c r="AB513" i="8"/>
  <c r="AD513" i="8"/>
  <c r="AB514" i="8"/>
  <c r="AD514" i="8"/>
  <c r="AB512" i="8"/>
  <c r="AD512" i="8"/>
  <c r="AB516" i="8"/>
  <c r="AD516" i="8"/>
  <c r="AB517" i="8"/>
  <c r="AD517" i="8"/>
  <c r="AD518" i="8"/>
  <c r="AB500" i="8"/>
  <c r="AD500" i="8"/>
  <c r="AB501" i="8"/>
  <c r="AD501" i="8"/>
  <c r="AB502" i="8"/>
  <c r="AD502" i="8"/>
  <c r="AB503" i="8"/>
  <c r="AD503" i="8"/>
  <c r="AB504" i="8"/>
  <c r="AD504" i="8"/>
  <c r="AB506" i="8"/>
  <c r="AD506" i="8"/>
  <c r="AB507" i="8"/>
  <c r="AD507" i="8"/>
  <c r="AB508" i="8"/>
  <c r="AD508" i="8"/>
  <c r="AD509" i="8"/>
  <c r="AB482" i="8"/>
  <c r="AD482" i="8"/>
  <c r="AB483" i="8"/>
  <c r="AD483" i="8"/>
  <c r="AB484" i="8"/>
  <c r="AD484" i="8"/>
  <c r="AB485" i="8"/>
  <c r="AD485" i="8"/>
  <c r="AB486" i="8"/>
  <c r="AD486" i="8"/>
  <c r="AB487" i="8"/>
  <c r="AD487" i="8"/>
  <c r="AB488" i="8"/>
  <c r="AD488" i="8"/>
  <c r="AB489" i="8"/>
  <c r="AD489" i="8"/>
  <c r="AB490" i="8"/>
  <c r="AD490" i="8"/>
  <c r="AB491" i="8"/>
  <c r="AD491" i="8"/>
  <c r="AB492" i="8"/>
  <c r="AD492" i="8"/>
  <c r="AB493" i="8"/>
  <c r="AD493" i="8"/>
  <c r="AB494" i="8"/>
  <c r="AD494" i="8"/>
  <c r="AD495" i="8"/>
  <c r="AB465" i="8"/>
  <c r="AD465" i="8"/>
  <c r="AB467" i="8"/>
  <c r="AD467" i="8"/>
  <c r="AB466" i="8"/>
  <c r="AD466" i="8"/>
  <c r="AB468" i="8"/>
  <c r="AD468" i="8"/>
  <c r="AB469" i="8"/>
  <c r="AD469" i="8"/>
  <c r="AD470" i="8"/>
  <c r="AB455" i="8"/>
  <c r="AD455" i="8"/>
  <c r="AB458" i="8"/>
  <c r="AD458" i="8"/>
  <c r="AB459" i="8"/>
  <c r="AD459" i="8"/>
  <c r="AB456" i="8"/>
  <c r="AD456" i="8"/>
  <c r="AB457" i="8"/>
  <c r="AD457" i="8"/>
  <c r="AB460" i="8"/>
  <c r="AD460" i="8"/>
  <c r="AB461" i="8"/>
  <c r="AD461" i="8"/>
  <c r="AD462" i="8"/>
  <c r="AB446" i="8"/>
  <c r="AD446" i="8"/>
  <c r="AB447" i="8"/>
  <c r="AD447" i="8"/>
  <c r="AB448" i="8"/>
  <c r="AD448" i="8"/>
  <c r="AB449" i="8"/>
  <c r="AD449" i="8"/>
  <c r="AB450" i="8"/>
  <c r="AD450" i="8"/>
  <c r="AB451" i="8"/>
  <c r="AD451" i="8"/>
  <c r="AD452" i="8"/>
  <c r="AB562" i="8"/>
  <c r="AD562" i="8"/>
  <c r="AB563" i="8"/>
  <c r="AD563" i="8"/>
  <c r="AB564" i="8"/>
  <c r="AD564" i="8"/>
  <c r="AB565" i="8"/>
  <c r="AD565" i="8"/>
  <c r="AD566" i="8"/>
  <c r="AB474" i="8"/>
  <c r="AD474" i="8"/>
  <c r="AB475" i="8"/>
  <c r="AD475" i="8"/>
  <c r="AB476" i="8"/>
  <c r="AD476" i="8"/>
  <c r="AB477" i="8"/>
  <c r="AD477" i="8"/>
  <c r="AB478" i="8"/>
  <c r="AD478" i="8"/>
  <c r="AD479" i="8"/>
  <c r="AD568" i="8"/>
  <c r="AB439" i="8"/>
  <c r="AB423" i="8"/>
  <c r="AB434" i="8"/>
  <c r="AB441" i="8"/>
  <c r="AB530" i="8"/>
  <c r="AB518" i="8"/>
  <c r="AB509" i="8"/>
  <c r="AB495" i="8"/>
  <c r="AB470" i="8"/>
  <c r="AB462" i="8"/>
  <c r="AB452" i="8"/>
  <c r="AB566" i="8"/>
  <c r="AB479" i="8"/>
  <c r="AB568" i="8"/>
  <c r="H71" i="12"/>
  <c r="H72" i="12"/>
  <c r="H73" i="12"/>
  <c r="H74" i="12"/>
  <c r="H75" i="12"/>
  <c r="H76" i="12"/>
  <c r="H77" i="12"/>
  <c r="H64" i="12"/>
  <c r="H65" i="12"/>
  <c r="H66" i="12"/>
  <c r="H67" i="12"/>
  <c r="H68" i="12"/>
  <c r="H69" i="12"/>
  <c r="H61" i="12"/>
  <c r="H79" i="12"/>
  <c r="AB569" i="8"/>
  <c r="AB36" i="8"/>
  <c r="AB37" i="8"/>
  <c r="AB38" i="8"/>
  <c r="AB39" i="8"/>
  <c r="AB40" i="8"/>
  <c r="AB41" i="8"/>
  <c r="AB42" i="8"/>
  <c r="AB43" i="8"/>
  <c r="AB44" i="8"/>
  <c r="AB45" i="8"/>
  <c r="H25" i="12"/>
  <c r="J645" i="8"/>
  <c r="AB105" i="8"/>
  <c r="AB106" i="8"/>
  <c r="AB107" i="8"/>
  <c r="AB108" i="8"/>
  <c r="AB109" i="8"/>
  <c r="H30" i="12"/>
  <c r="H8" i="12"/>
  <c r="J30" i="12"/>
  <c r="T617" i="8"/>
  <c r="V617" i="8"/>
  <c r="AB617" i="8"/>
  <c r="T618" i="8"/>
  <c r="V618" i="8"/>
  <c r="AB618" i="8"/>
  <c r="T620" i="8"/>
  <c r="V620" i="8"/>
  <c r="AB620" i="8"/>
  <c r="T621" i="8"/>
  <c r="V621" i="8"/>
  <c r="AB621" i="8"/>
  <c r="T619" i="8"/>
  <c r="V619" i="8"/>
  <c r="AB619" i="8"/>
  <c r="T622" i="8"/>
  <c r="V622" i="8"/>
  <c r="AB622" i="8"/>
  <c r="AB623" i="8"/>
  <c r="T627" i="8"/>
  <c r="V627" i="8"/>
  <c r="AB627" i="8"/>
  <c r="T628" i="8"/>
  <c r="V628" i="8"/>
  <c r="AB628" i="8"/>
  <c r="T629" i="8"/>
  <c r="V629" i="8"/>
  <c r="AB629" i="8"/>
  <c r="AB630" i="8"/>
  <c r="AB631" i="8"/>
  <c r="H95" i="12"/>
  <c r="T634" i="8"/>
  <c r="V634" i="8"/>
  <c r="AB634" i="8"/>
  <c r="P635" i="8"/>
  <c r="T635" i="8"/>
  <c r="V635" i="8"/>
  <c r="AB635" i="8"/>
  <c r="T637" i="8"/>
  <c r="V637" i="8"/>
  <c r="AB637" i="8"/>
  <c r="T636" i="8"/>
  <c r="V636" i="8"/>
  <c r="AB636" i="8"/>
  <c r="AB638" i="8"/>
  <c r="H96" i="12"/>
  <c r="P645" i="8"/>
  <c r="T645" i="8"/>
  <c r="V645" i="8"/>
  <c r="AB645" i="8"/>
  <c r="P641" i="8"/>
  <c r="J641" i="8"/>
  <c r="T641" i="8"/>
  <c r="V641" i="8"/>
  <c r="AB641" i="8"/>
  <c r="B39" i="14"/>
  <c r="C39" i="14"/>
  <c r="P642" i="8"/>
  <c r="T642" i="8"/>
  <c r="V642" i="8"/>
  <c r="AB642" i="8"/>
  <c r="T643" i="8"/>
  <c r="V643" i="8"/>
  <c r="AB643" i="8"/>
  <c r="T644" i="8"/>
  <c r="V644" i="8"/>
  <c r="AB644" i="8"/>
  <c r="AB646" i="8"/>
  <c r="H97" i="12"/>
  <c r="H98" i="12"/>
  <c r="AB576" i="8"/>
  <c r="AB577" i="8"/>
  <c r="AB580" i="8"/>
  <c r="H85" i="12"/>
  <c r="AB581" i="8"/>
  <c r="H86" i="12"/>
  <c r="H87" i="12"/>
  <c r="AB584" i="8"/>
  <c r="H89" i="12"/>
  <c r="H90" i="12"/>
  <c r="AB353" i="8"/>
  <c r="AB342" i="8"/>
  <c r="AB343" i="8"/>
  <c r="AB344" i="8"/>
  <c r="AB345" i="8"/>
  <c r="AB346" i="8"/>
  <c r="AB347" i="8"/>
  <c r="AB348" i="8"/>
  <c r="AB349" i="8"/>
  <c r="AB350" i="8"/>
  <c r="AB354" i="8"/>
  <c r="AB351" i="8"/>
  <c r="AB352" i="8"/>
  <c r="AB355" i="8"/>
  <c r="AB356" i="8"/>
  <c r="AB376" i="8"/>
  <c r="AB377" i="8"/>
  <c r="AB378" i="8"/>
  <c r="AB379" i="8"/>
  <c r="AB380" i="8"/>
  <c r="AB381" i="8"/>
  <c r="AB382" i="8"/>
  <c r="AB383" i="8"/>
  <c r="AB384" i="8"/>
  <c r="AB362" i="8"/>
  <c r="AB363" i="8"/>
  <c r="AB364" i="8"/>
  <c r="AB365" i="8"/>
  <c r="AB366" i="8"/>
  <c r="AB368" i="8"/>
  <c r="AB367" i="8"/>
  <c r="AB369" i="8"/>
  <c r="AB370" i="8"/>
  <c r="AB371" i="8"/>
  <c r="AB372" i="8"/>
  <c r="AB373" i="8"/>
  <c r="AB401" i="8"/>
  <c r="AB402" i="8"/>
  <c r="AB403" i="8"/>
  <c r="AB404" i="8"/>
  <c r="AB405" i="8"/>
  <c r="AB408" i="8"/>
  <c r="H52" i="12"/>
  <c r="P309" i="8"/>
  <c r="T309" i="8"/>
  <c r="V309" i="8"/>
  <c r="AB309" i="8"/>
  <c r="P310" i="8"/>
  <c r="T310" i="8"/>
  <c r="V310" i="8"/>
  <c r="AB310" i="8"/>
  <c r="P311" i="8"/>
  <c r="T311" i="8"/>
  <c r="V311" i="8"/>
  <c r="AB311" i="8"/>
  <c r="P313" i="8"/>
  <c r="T313" i="8"/>
  <c r="V313" i="8"/>
  <c r="AB313" i="8"/>
  <c r="P314" i="8"/>
  <c r="T314" i="8"/>
  <c r="V314" i="8"/>
  <c r="AB314" i="8"/>
  <c r="P315" i="8"/>
  <c r="T315" i="8"/>
  <c r="V315" i="8"/>
  <c r="AB315" i="8"/>
  <c r="P317" i="8"/>
  <c r="T317" i="8"/>
  <c r="V317" i="8"/>
  <c r="AB317" i="8"/>
  <c r="P318" i="8"/>
  <c r="T318" i="8"/>
  <c r="V318" i="8"/>
  <c r="AB318" i="8"/>
  <c r="P319" i="8"/>
  <c r="T319" i="8"/>
  <c r="V319" i="8"/>
  <c r="AB319" i="8"/>
  <c r="P320" i="8"/>
  <c r="T320" i="8"/>
  <c r="V320" i="8"/>
  <c r="AB320" i="8"/>
  <c r="P322" i="8"/>
  <c r="F322" i="8"/>
  <c r="T322" i="8"/>
  <c r="V322" i="8"/>
  <c r="AB322" i="8"/>
  <c r="T323" i="8"/>
  <c r="V323" i="8"/>
  <c r="AB323" i="8"/>
  <c r="T324" i="8"/>
  <c r="V324" i="8"/>
  <c r="AB324" i="8"/>
  <c r="AB325" i="8"/>
  <c r="H46" i="12"/>
  <c r="H54" i="12"/>
  <c r="H81" i="12"/>
  <c r="H92" i="12"/>
  <c r="AB23" i="8"/>
  <c r="AB24" i="8"/>
  <c r="AB25" i="8"/>
  <c r="AB26" i="8"/>
  <c r="AB27" i="8"/>
  <c r="AB29" i="8"/>
  <c r="AB30" i="8"/>
  <c r="AB31" i="8"/>
  <c r="AB32" i="8"/>
  <c r="H24" i="12"/>
  <c r="AB48" i="8"/>
  <c r="AB49" i="8"/>
  <c r="AB51" i="8"/>
  <c r="AB52" i="8"/>
  <c r="AB53" i="8"/>
  <c r="AB54" i="8"/>
  <c r="AB55" i="8"/>
  <c r="AB56" i="8"/>
  <c r="AB57" i="8"/>
  <c r="AB58" i="8"/>
  <c r="AB59" i="8"/>
  <c r="AB60" i="8"/>
  <c r="AB61" i="8"/>
  <c r="AB62" i="8"/>
  <c r="H26" i="12"/>
  <c r="AB65" i="8"/>
  <c r="AB66" i="8"/>
  <c r="AB67" i="8"/>
  <c r="AB68" i="8"/>
  <c r="AB69" i="8"/>
  <c r="H27" i="12"/>
  <c r="AB73" i="8"/>
  <c r="AB74" i="8"/>
  <c r="AB75" i="8"/>
  <c r="AB76" i="8"/>
  <c r="AB77" i="8"/>
  <c r="AB78" i="8"/>
  <c r="AB81" i="8"/>
  <c r="AB82" i="8"/>
  <c r="AB85" i="8"/>
  <c r="AB86" i="8"/>
  <c r="AB87" i="8"/>
  <c r="AB88" i="8"/>
  <c r="AB83" i="8"/>
  <c r="AB89" i="8"/>
  <c r="H28" i="12"/>
  <c r="AB92" i="8"/>
  <c r="AB93" i="8"/>
  <c r="AB94" i="8"/>
  <c r="AB95" i="8"/>
  <c r="AB96" i="8"/>
  <c r="AB97" i="8"/>
  <c r="AB98" i="8"/>
  <c r="AB99" i="8"/>
  <c r="AB100" i="8"/>
  <c r="AB101" i="8"/>
  <c r="H29" i="12"/>
  <c r="AB113" i="8"/>
  <c r="AB114" i="8"/>
  <c r="AB115" i="8"/>
  <c r="AB116" i="8"/>
  <c r="AB117" i="8"/>
  <c r="AB118" i="8"/>
  <c r="AB120" i="8"/>
  <c r="AB121" i="8"/>
  <c r="AB122" i="8"/>
  <c r="H31" i="12"/>
  <c r="AB126" i="8"/>
  <c r="AB127" i="8"/>
  <c r="AB128" i="8"/>
  <c r="AB130" i="8"/>
  <c r="AB131" i="8"/>
  <c r="AB132" i="8"/>
  <c r="AB133" i="8"/>
  <c r="AB135" i="8"/>
  <c r="AB136" i="8"/>
  <c r="AB137" i="8"/>
  <c r="AB138" i="8"/>
  <c r="AB139" i="8"/>
  <c r="AB141" i="8"/>
  <c r="AB129" i="8"/>
  <c r="AB134" i="8"/>
  <c r="AB140" i="8"/>
  <c r="AB142" i="8"/>
  <c r="AB143" i="8"/>
  <c r="H32" i="12"/>
  <c r="AB256" i="8"/>
  <c r="H33" i="12"/>
  <c r="H34" i="12"/>
  <c r="AB263" i="8"/>
  <c r="AB264" i="8"/>
  <c r="AB265" i="8"/>
  <c r="AB267" i="8"/>
  <c r="AB268" i="8"/>
  <c r="AB269" i="8"/>
  <c r="AB271" i="8"/>
  <c r="AB272" i="8"/>
  <c r="AB273" i="8"/>
  <c r="AB274" i="8"/>
  <c r="AB276" i="8"/>
  <c r="AB277" i="8"/>
  <c r="AB278" i="8"/>
  <c r="AB279" i="8"/>
  <c r="H37" i="12"/>
  <c r="AB300" i="8"/>
  <c r="H38" i="12"/>
  <c r="H39" i="12"/>
  <c r="H41" i="12"/>
  <c r="H21" i="12"/>
  <c r="H43" i="12"/>
  <c r="H100" i="12"/>
  <c r="J100" i="12"/>
  <c r="J102" i="12"/>
  <c r="J104" i="12"/>
  <c r="H102" i="12"/>
  <c r="H104" i="12"/>
  <c r="F95" i="12"/>
  <c r="D95" i="12"/>
  <c r="F96" i="12"/>
  <c r="D96" i="12"/>
  <c r="F97" i="12"/>
  <c r="D97" i="12"/>
  <c r="D98" i="12"/>
  <c r="F85" i="12"/>
  <c r="D85" i="12"/>
  <c r="F86" i="12"/>
  <c r="D86" i="12"/>
  <c r="D87" i="12"/>
  <c r="F89" i="12"/>
  <c r="D89" i="12"/>
  <c r="D90" i="12"/>
  <c r="F52" i="12"/>
  <c r="D52" i="12"/>
  <c r="F46" i="12"/>
  <c r="D46" i="12"/>
  <c r="D54" i="12"/>
  <c r="F71" i="12"/>
  <c r="D71" i="12"/>
  <c r="F77" i="12"/>
  <c r="D77" i="12"/>
  <c r="F64" i="12"/>
  <c r="D64" i="12"/>
  <c r="F65" i="12"/>
  <c r="D65" i="12"/>
  <c r="F66" i="12"/>
  <c r="D66" i="12"/>
  <c r="F67" i="12"/>
  <c r="D67" i="12"/>
  <c r="F68" i="12"/>
  <c r="D68" i="12"/>
  <c r="D69" i="12"/>
  <c r="F61" i="12"/>
  <c r="D61" i="12"/>
  <c r="D79" i="12"/>
  <c r="D81" i="12"/>
  <c r="D92" i="12"/>
  <c r="F25" i="12"/>
  <c r="D25" i="12"/>
  <c r="F24" i="12"/>
  <c r="D24" i="12"/>
  <c r="F26" i="12"/>
  <c r="D26" i="12"/>
  <c r="F27" i="12"/>
  <c r="D27" i="12"/>
  <c r="F28" i="12"/>
  <c r="D28" i="12"/>
  <c r="F29" i="12"/>
  <c r="D29" i="12"/>
  <c r="F30" i="12"/>
  <c r="D30" i="12"/>
  <c r="F31" i="12"/>
  <c r="D31" i="12"/>
  <c r="F32" i="12"/>
  <c r="D32" i="12"/>
  <c r="F33" i="12"/>
  <c r="D33" i="12"/>
  <c r="D34" i="12"/>
  <c r="F37" i="12"/>
  <c r="D37" i="12"/>
  <c r="F38" i="12"/>
  <c r="D38" i="12"/>
  <c r="D39" i="12"/>
  <c r="D41" i="12"/>
  <c r="F20" i="12"/>
  <c r="D20" i="12"/>
  <c r="D21" i="12"/>
  <c r="D43" i="12"/>
  <c r="D100" i="12"/>
  <c r="D102" i="12"/>
  <c r="D104" i="12"/>
  <c r="F98" i="12"/>
  <c r="J98" i="12"/>
  <c r="J97" i="12"/>
  <c r="J96" i="12"/>
  <c r="J95" i="12"/>
  <c r="F92" i="12"/>
  <c r="B97" i="12"/>
  <c r="B96" i="12"/>
  <c r="B95" i="12"/>
  <c r="AD576" i="8"/>
  <c r="AD577" i="8"/>
  <c r="T576" i="8"/>
  <c r="T577" i="8"/>
  <c r="AE54" i="12"/>
  <c r="J54" i="12"/>
  <c r="F54" i="12"/>
  <c r="F79" i="12"/>
  <c r="F83" i="12"/>
  <c r="F81" i="12"/>
  <c r="J77" i="12"/>
  <c r="J76" i="12"/>
  <c r="J75" i="12"/>
  <c r="J74" i="12"/>
  <c r="J73" i="12"/>
  <c r="J72" i="12"/>
  <c r="J71" i="12"/>
  <c r="F76" i="12"/>
  <c r="D76" i="12"/>
  <c r="F75" i="12"/>
  <c r="D75" i="12"/>
  <c r="F74" i="12"/>
  <c r="D74" i="12"/>
  <c r="F73" i="12"/>
  <c r="D73" i="12"/>
  <c r="F72" i="12"/>
  <c r="D72" i="12"/>
  <c r="F69" i="12"/>
  <c r="F60" i="12"/>
  <c r="F59" i="12"/>
  <c r="F58" i="12"/>
  <c r="F51" i="12"/>
  <c r="F50" i="12"/>
  <c r="F49" i="12"/>
  <c r="B76" i="12"/>
  <c r="B75" i="12"/>
  <c r="B74" i="12"/>
  <c r="B73" i="12"/>
  <c r="B72" i="12"/>
  <c r="B71" i="12"/>
  <c r="J69" i="12"/>
  <c r="J68" i="12"/>
  <c r="J67" i="12"/>
  <c r="J66" i="12"/>
  <c r="J65" i="12"/>
  <c r="J64" i="12"/>
  <c r="D8" i="14"/>
  <c r="E8" i="14"/>
  <c r="F8" i="14"/>
  <c r="G8" i="14"/>
  <c r="H8" i="14"/>
  <c r="J8" i="14"/>
  <c r="C8" i="14"/>
  <c r="K8" i="14"/>
  <c r="D9" i="14"/>
  <c r="E9" i="14"/>
  <c r="F9" i="14"/>
  <c r="G9" i="14"/>
  <c r="H9" i="14"/>
  <c r="J9" i="14"/>
  <c r="D14" i="14"/>
  <c r="E14" i="14"/>
  <c r="F14" i="14"/>
  <c r="G14" i="14"/>
  <c r="H14" i="14"/>
  <c r="D15" i="14"/>
  <c r="E15" i="14"/>
  <c r="F15" i="14"/>
  <c r="G15" i="14"/>
  <c r="H15" i="14"/>
  <c r="D25" i="14"/>
  <c r="H25" i="14"/>
  <c r="D26" i="14"/>
  <c r="H26" i="14"/>
  <c r="D27" i="14"/>
  <c r="H27" i="14"/>
  <c r="D28" i="14"/>
  <c r="H28" i="14"/>
  <c r="F29" i="14"/>
  <c r="H29" i="14"/>
  <c r="D30" i="14"/>
  <c r="H30" i="14"/>
  <c r="H31" i="14"/>
  <c r="H32" i="14"/>
  <c r="J61" i="12"/>
  <c r="H60" i="12"/>
  <c r="J60" i="12"/>
  <c r="H59" i="12"/>
  <c r="J59" i="12"/>
  <c r="H58" i="12"/>
  <c r="J58" i="12"/>
  <c r="D60" i="12"/>
  <c r="D59" i="12"/>
  <c r="D58" i="12"/>
  <c r="J52" i="12"/>
  <c r="AD401" i="8"/>
  <c r="AD402" i="8"/>
  <c r="AD403" i="8"/>
  <c r="AD404" i="8"/>
  <c r="AD405" i="8"/>
  <c r="H51" i="12"/>
  <c r="D51" i="12"/>
  <c r="H50" i="12"/>
  <c r="D50" i="12"/>
  <c r="B50" i="12"/>
  <c r="H49" i="12"/>
  <c r="D49" i="12"/>
  <c r="J46" i="12"/>
  <c r="B68" i="12"/>
  <c r="B67" i="12"/>
  <c r="B66" i="12"/>
  <c r="B65" i="12"/>
  <c r="B64" i="12"/>
  <c r="B61" i="12"/>
  <c r="B52" i="12"/>
  <c r="B63" i="12"/>
  <c r="B60" i="12"/>
  <c r="B59" i="12"/>
  <c r="B58" i="12"/>
  <c r="B57" i="12"/>
  <c r="B48" i="12"/>
  <c r="B51" i="12"/>
  <c r="B49" i="12"/>
  <c r="B46" i="12"/>
  <c r="B38" i="12"/>
  <c r="B37" i="12"/>
  <c r="B30" i="12"/>
  <c r="B33" i="12"/>
  <c r="B32" i="12"/>
  <c r="B31" i="12"/>
  <c r="B29" i="12"/>
  <c r="B28" i="12"/>
  <c r="B27" i="12"/>
  <c r="B26" i="12"/>
  <c r="B24" i="12"/>
  <c r="B25" i="12"/>
  <c r="AD256" i="8"/>
  <c r="AD105" i="8"/>
  <c r="AD106" i="8"/>
  <c r="AD107" i="8"/>
  <c r="AD108" i="8"/>
  <c r="AD109" i="8"/>
  <c r="AD92" i="8"/>
  <c r="AD93" i="8"/>
  <c r="AD94" i="8"/>
  <c r="AD95" i="8"/>
  <c r="AD96" i="8"/>
  <c r="AD97" i="8"/>
  <c r="AD98" i="8"/>
  <c r="AD99" i="8"/>
  <c r="AD100" i="8"/>
  <c r="AD101" i="8"/>
  <c r="AD73" i="8"/>
  <c r="AD74" i="8"/>
  <c r="AD75" i="8"/>
  <c r="AD76" i="8"/>
  <c r="AD77" i="8"/>
  <c r="AD78" i="8"/>
  <c r="AD81" i="8"/>
  <c r="AD82" i="8"/>
  <c r="AD85" i="8"/>
  <c r="AD86" i="8"/>
  <c r="AD87" i="8"/>
  <c r="AD88" i="8"/>
  <c r="AD83" i="8"/>
  <c r="AD89" i="8"/>
  <c r="AD65" i="8"/>
  <c r="AD66" i="8"/>
  <c r="AD67" i="8"/>
  <c r="AD68" i="8"/>
  <c r="AD69" i="8"/>
  <c r="AD36" i="8"/>
  <c r="AD37" i="8"/>
  <c r="AD38" i="8"/>
  <c r="AD39" i="8"/>
  <c r="AD40" i="8"/>
  <c r="AD41" i="8"/>
  <c r="AD42" i="8"/>
  <c r="AD43" i="8"/>
  <c r="AD44" i="8"/>
  <c r="AD45" i="8"/>
  <c r="AD23" i="8"/>
  <c r="AD24" i="8"/>
  <c r="AD25" i="8"/>
  <c r="AD26" i="8"/>
  <c r="AD27" i="8"/>
  <c r="AD29" i="8"/>
  <c r="AD30" i="8"/>
  <c r="AD31" i="8"/>
  <c r="AD32" i="8"/>
  <c r="AD113" i="8"/>
  <c r="AD114" i="8"/>
  <c r="AD115" i="8"/>
  <c r="AD116" i="8"/>
  <c r="AD117" i="8"/>
  <c r="AD118" i="8"/>
  <c r="AD120" i="8"/>
  <c r="AD121" i="8"/>
  <c r="AD122" i="8"/>
  <c r="AD126" i="8"/>
  <c r="AD127" i="8"/>
  <c r="AD128" i="8"/>
  <c r="AD130" i="8"/>
  <c r="AD131" i="8"/>
  <c r="AD132" i="8"/>
  <c r="AD133" i="8"/>
  <c r="AD135" i="8"/>
  <c r="AD136" i="8"/>
  <c r="AD137" i="8"/>
  <c r="AD138" i="8"/>
  <c r="AD139" i="8"/>
  <c r="AD141" i="8"/>
  <c r="AD129" i="8"/>
  <c r="AD134" i="8"/>
  <c r="AD142" i="8"/>
  <c r="AD143" i="8"/>
  <c r="AD48" i="8"/>
  <c r="AD49" i="8"/>
  <c r="AD51" i="8"/>
  <c r="AD52" i="8"/>
  <c r="AD53" i="8"/>
  <c r="AD54" i="8"/>
  <c r="AD55" i="8"/>
  <c r="AD56" i="8"/>
  <c r="AD57" i="8"/>
  <c r="AD58" i="8"/>
  <c r="AD59" i="8"/>
  <c r="AD60" i="8"/>
  <c r="AD61" i="8"/>
  <c r="AD62" i="8"/>
  <c r="AD146" i="8"/>
  <c r="AD257" i="8"/>
  <c r="AB146" i="8"/>
  <c r="AB257" i="8"/>
  <c r="P239" i="8"/>
  <c r="T239" i="8"/>
  <c r="V239" i="8"/>
  <c r="X239" i="8"/>
  <c r="P240" i="8"/>
  <c r="T240" i="8"/>
  <c r="V240" i="8"/>
  <c r="X240" i="8"/>
  <c r="P241" i="8"/>
  <c r="T241" i="8"/>
  <c r="V241" i="8"/>
  <c r="X241" i="8"/>
  <c r="T242" i="8"/>
  <c r="V242" i="8"/>
  <c r="X242" i="8"/>
  <c r="P244" i="8"/>
  <c r="T244" i="8"/>
  <c r="V244" i="8"/>
  <c r="X244" i="8"/>
  <c r="P245" i="8"/>
  <c r="T245" i="8"/>
  <c r="V245" i="8"/>
  <c r="X245" i="8"/>
  <c r="P246" i="8"/>
  <c r="T246" i="8"/>
  <c r="V246" i="8"/>
  <c r="X246" i="8"/>
  <c r="T247" i="8"/>
  <c r="V247" i="8"/>
  <c r="X247" i="8"/>
  <c r="P249" i="8"/>
  <c r="T249" i="8"/>
  <c r="V249" i="8"/>
  <c r="X249" i="8"/>
  <c r="P250" i="8"/>
  <c r="T250" i="8"/>
  <c r="V250" i="8"/>
  <c r="X250" i="8"/>
  <c r="P251" i="8"/>
  <c r="T251" i="8"/>
  <c r="V251" i="8"/>
  <c r="X251" i="8"/>
  <c r="X252" i="8"/>
  <c r="X253" i="8"/>
  <c r="X254" i="8"/>
  <c r="X255" i="8"/>
  <c r="X256" i="8"/>
  <c r="X73" i="8"/>
  <c r="X74" i="8"/>
  <c r="X75" i="8"/>
  <c r="X76" i="8"/>
  <c r="X77" i="8"/>
  <c r="X78" i="8"/>
  <c r="X81" i="8"/>
  <c r="X82" i="8"/>
  <c r="X85" i="8"/>
  <c r="X86" i="8"/>
  <c r="X87" i="8"/>
  <c r="X88" i="8"/>
  <c r="X83" i="8"/>
  <c r="X89" i="8"/>
  <c r="X92" i="8"/>
  <c r="X93" i="8"/>
  <c r="X94" i="8"/>
  <c r="X95" i="8"/>
  <c r="X96" i="8"/>
  <c r="X97" i="8"/>
  <c r="X98" i="8"/>
  <c r="X99" i="8"/>
  <c r="X100" i="8"/>
  <c r="X101" i="8"/>
  <c r="P104" i="8"/>
  <c r="T104" i="8"/>
  <c r="V104" i="8"/>
  <c r="X104" i="8"/>
  <c r="X105" i="8"/>
  <c r="X106" i="8"/>
  <c r="X107" i="8"/>
  <c r="X108" i="8"/>
  <c r="X109" i="8"/>
  <c r="X65" i="8"/>
  <c r="X66" i="8"/>
  <c r="X67" i="8"/>
  <c r="X68" i="8"/>
  <c r="X69" i="8"/>
  <c r="X23" i="8"/>
  <c r="X24" i="8"/>
  <c r="X25" i="8"/>
  <c r="X26" i="8"/>
  <c r="X27" i="8"/>
  <c r="X29" i="8"/>
  <c r="X30" i="8"/>
  <c r="X31" i="8"/>
  <c r="X32" i="8"/>
  <c r="X36" i="8"/>
  <c r="X37" i="8"/>
  <c r="X38" i="8"/>
  <c r="X39" i="8"/>
  <c r="X40" i="8"/>
  <c r="X41" i="8"/>
  <c r="X42" i="8"/>
  <c r="X43" i="8"/>
  <c r="X44" i="8"/>
  <c r="X45" i="8"/>
  <c r="X113" i="8"/>
  <c r="X114" i="8"/>
  <c r="X115" i="8"/>
  <c r="X116" i="8"/>
  <c r="X117" i="8"/>
  <c r="X118" i="8"/>
  <c r="X120" i="8"/>
  <c r="X121" i="8"/>
  <c r="X122" i="8"/>
  <c r="X126" i="8"/>
  <c r="X127" i="8"/>
  <c r="X128" i="8"/>
  <c r="X130" i="8"/>
  <c r="X131" i="8"/>
  <c r="X132" i="8"/>
  <c r="X133" i="8"/>
  <c r="X135" i="8"/>
  <c r="X136" i="8"/>
  <c r="X137" i="8"/>
  <c r="X138" i="8"/>
  <c r="X139" i="8"/>
  <c r="X141" i="8"/>
  <c r="X129" i="8"/>
  <c r="X134" i="8"/>
  <c r="X142" i="8"/>
  <c r="X143" i="8"/>
  <c r="X48" i="8"/>
  <c r="X49" i="8"/>
  <c r="X62" i="8"/>
  <c r="X146" i="8"/>
  <c r="X257" i="8"/>
  <c r="T256" i="8"/>
  <c r="T109" i="8"/>
  <c r="T101" i="8"/>
  <c r="T89" i="8"/>
  <c r="T69" i="8"/>
  <c r="T45" i="8"/>
  <c r="T32" i="8"/>
  <c r="T122" i="8"/>
  <c r="T143" i="8"/>
  <c r="T62" i="8"/>
  <c r="T146" i="8"/>
  <c r="T257" i="8"/>
  <c r="AC61" i="8"/>
  <c r="AC60" i="8"/>
  <c r="AC59" i="8"/>
  <c r="AC58" i="8"/>
  <c r="AC57" i="8"/>
  <c r="AC56" i="8"/>
  <c r="AC55" i="8"/>
  <c r="AC54" i="8"/>
  <c r="AC53" i="8"/>
  <c r="AC52" i="8"/>
  <c r="AC51" i="8"/>
  <c r="AC49" i="8"/>
  <c r="AC48" i="8"/>
  <c r="T161" i="8"/>
  <c r="V161" i="8"/>
  <c r="T162" i="8"/>
  <c r="V162" i="8"/>
  <c r="T163" i="8"/>
  <c r="V163" i="8"/>
  <c r="T164" i="8"/>
  <c r="V164" i="8"/>
  <c r="T165" i="8"/>
  <c r="V165" i="8"/>
  <c r="J166" i="8"/>
  <c r="T166" i="8"/>
  <c r="V166" i="8"/>
  <c r="V167" i="8"/>
  <c r="T170" i="8"/>
  <c r="V170" i="8"/>
  <c r="T171" i="8"/>
  <c r="V171" i="8"/>
  <c r="T172" i="8"/>
  <c r="V172" i="8"/>
  <c r="T173" i="8"/>
  <c r="V173" i="8"/>
  <c r="T174" i="8"/>
  <c r="V174" i="8"/>
  <c r="V175" i="8"/>
  <c r="T213" i="8"/>
  <c r="V213" i="8"/>
  <c r="P214" i="8"/>
  <c r="T214" i="8"/>
  <c r="V214" i="8"/>
  <c r="P215" i="8"/>
  <c r="T215" i="8"/>
  <c r="V215" i="8"/>
  <c r="T216" i="8"/>
  <c r="V216" i="8"/>
  <c r="T217" i="8"/>
  <c r="V217" i="8"/>
  <c r="V218" i="8"/>
  <c r="J224" i="8"/>
  <c r="T224" i="8"/>
  <c r="V224" i="8"/>
  <c r="J225" i="8"/>
  <c r="P225" i="8"/>
  <c r="T225" i="8"/>
  <c r="V225" i="8"/>
  <c r="J226" i="8"/>
  <c r="T226" i="8"/>
  <c r="V226" i="8"/>
  <c r="J227" i="8"/>
  <c r="T227" i="8"/>
  <c r="V227" i="8"/>
  <c r="T228" i="8"/>
  <c r="V228" i="8"/>
  <c r="V229" i="8"/>
  <c r="T232" i="8"/>
  <c r="V232" i="8"/>
  <c r="T233" i="8"/>
  <c r="V233" i="8"/>
  <c r="T234" i="8"/>
  <c r="V234" i="8"/>
  <c r="V235" i="8"/>
  <c r="P202" i="8"/>
  <c r="T202" i="8"/>
  <c r="V202" i="8"/>
  <c r="P203" i="8"/>
  <c r="T203" i="8"/>
  <c r="V203" i="8"/>
  <c r="P204" i="8"/>
  <c r="T204" i="8"/>
  <c r="V204" i="8"/>
  <c r="P205" i="8"/>
  <c r="T205" i="8"/>
  <c r="V205" i="8"/>
  <c r="P206" i="8"/>
  <c r="T206" i="8"/>
  <c r="V206" i="8"/>
  <c r="P207" i="8"/>
  <c r="T207" i="8"/>
  <c r="V207" i="8"/>
  <c r="T208" i="8"/>
  <c r="V208" i="8"/>
  <c r="T209" i="8"/>
  <c r="V209" i="8"/>
  <c r="V210" i="8"/>
  <c r="T192" i="8"/>
  <c r="V192" i="8"/>
  <c r="T193" i="8"/>
  <c r="V193" i="8"/>
  <c r="T194" i="8"/>
  <c r="V194" i="8"/>
  <c r="T195" i="8"/>
  <c r="V195" i="8"/>
  <c r="T196" i="8"/>
  <c r="V196" i="8"/>
  <c r="V197" i="8"/>
  <c r="T178" i="8"/>
  <c r="V178" i="8"/>
  <c r="T179" i="8"/>
  <c r="V179" i="8"/>
  <c r="T180" i="8"/>
  <c r="V180" i="8"/>
  <c r="T181" i="8"/>
  <c r="V181" i="8"/>
  <c r="T182" i="8"/>
  <c r="V182" i="8"/>
  <c r="T183" i="8"/>
  <c r="V183" i="8"/>
  <c r="T184" i="8"/>
  <c r="V184" i="8"/>
  <c r="T185" i="8"/>
  <c r="V185" i="8"/>
  <c r="T186" i="8"/>
  <c r="V186" i="8"/>
  <c r="T187" i="8"/>
  <c r="V187" i="8"/>
  <c r="T188" i="8"/>
  <c r="V188" i="8"/>
  <c r="V189" i="8"/>
  <c r="T151" i="8"/>
  <c r="V151" i="8"/>
  <c r="T152" i="8"/>
  <c r="V152" i="8"/>
  <c r="T153" i="8"/>
  <c r="V153" i="8"/>
  <c r="T154" i="8"/>
  <c r="V154" i="8"/>
  <c r="T156" i="8"/>
  <c r="V156" i="8"/>
  <c r="T157" i="8"/>
  <c r="V157" i="8"/>
  <c r="V158" i="8"/>
  <c r="Z61" i="8"/>
  <c r="Z60" i="8"/>
  <c r="Z59" i="8"/>
  <c r="Z58" i="8"/>
  <c r="Z57" i="8"/>
  <c r="Z56" i="8"/>
  <c r="Z55" i="8"/>
  <c r="Z54" i="8"/>
  <c r="Z53" i="8"/>
  <c r="Z52" i="8"/>
  <c r="Z51" i="8"/>
  <c r="Z49" i="8"/>
  <c r="Z48" i="8"/>
  <c r="P55" i="8"/>
  <c r="P54" i="8"/>
  <c r="P53" i="8"/>
  <c r="P52" i="8"/>
  <c r="P51" i="8"/>
  <c r="R61" i="8"/>
  <c r="R60" i="8"/>
  <c r="R59" i="8"/>
  <c r="R58" i="8"/>
  <c r="R57" i="8"/>
  <c r="R56" i="8"/>
  <c r="R55" i="8"/>
  <c r="R54" i="8"/>
  <c r="R53" i="8"/>
  <c r="R52" i="8"/>
  <c r="R51" i="8"/>
  <c r="R49" i="8"/>
  <c r="R48" i="8"/>
  <c r="AD617" i="8"/>
  <c r="AD618" i="8"/>
  <c r="AD619" i="8"/>
  <c r="AD620" i="8"/>
  <c r="AD621" i="8"/>
  <c r="AD622" i="8"/>
  <c r="AD623" i="8"/>
  <c r="AD627" i="8"/>
  <c r="AD628" i="8"/>
  <c r="AD629" i="8"/>
  <c r="AD630" i="8"/>
  <c r="AD631" i="8"/>
  <c r="AD636" i="8"/>
  <c r="AD634" i="8"/>
  <c r="AD635" i="8"/>
  <c r="AD637" i="8"/>
  <c r="AD638" i="8"/>
  <c r="AD641" i="8"/>
  <c r="AD642" i="8"/>
  <c r="AD645" i="8"/>
  <c r="AD643" i="8"/>
  <c r="AD644" i="8"/>
  <c r="AD646" i="8"/>
  <c r="AE604" i="8"/>
  <c r="AB604" i="8"/>
  <c r="V638" i="8"/>
  <c r="X638" i="8"/>
  <c r="X641" i="8"/>
  <c r="X642" i="8"/>
  <c r="X645" i="8"/>
  <c r="X643" i="8"/>
  <c r="X644" i="8"/>
  <c r="X646" i="8"/>
  <c r="X617" i="8"/>
  <c r="X618" i="8"/>
  <c r="X619" i="8"/>
  <c r="X620" i="8"/>
  <c r="X621" i="8"/>
  <c r="X623" i="8"/>
  <c r="X627" i="8"/>
  <c r="X628" i="8"/>
  <c r="X629" i="8"/>
  <c r="X630" i="8"/>
  <c r="X631" i="8"/>
  <c r="X604" i="8"/>
  <c r="V646" i="8"/>
  <c r="V623" i="8"/>
  <c r="V630" i="8"/>
  <c r="V631" i="8"/>
  <c r="V604" i="8"/>
  <c r="T638" i="8"/>
  <c r="T646" i="8"/>
  <c r="T623" i="8"/>
  <c r="T630" i="8"/>
  <c r="T631" i="8"/>
  <c r="T604" i="8"/>
  <c r="AC642" i="8"/>
  <c r="Z642" i="8"/>
  <c r="R642" i="8"/>
  <c r="J400" i="8"/>
  <c r="J399" i="8"/>
  <c r="J398" i="8"/>
  <c r="J395" i="8"/>
  <c r="J394" i="8"/>
  <c r="J393" i="8"/>
  <c r="J390" i="8"/>
  <c r="J389" i="8"/>
  <c r="J388" i="8"/>
  <c r="AD363" i="8"/>
  <c r="AD368" i="8"/>
  <c r="AD369" i="8"/>
  <c r="AD362" i="8"/>
  <c r="AD364" i="8"/>
  <c r="AD365" i="8"/>
  <c r="AD366" i="8"/>
  <c r="AD367" i="8"/>
  <c r="AD370" i="8"/>
  <c r="AD371" i="8"/>
  <c r="AD372" i="8"/>
  <c r="AD373" i="8"/>
  <c r="AD376" i="8"/>
  <c r="AD377" i="8"/>
  <c r="AD378" i="8"/>
  <c r="AD379" i="8"/>
  <c r="AD380" i="8"/>
  <c r="AD381" i="8"/>
  <c r="AD383" i="8"/>
  <c r="AD382" i="8"/>
  <c r="AD384" i="8"/>
  <c r="AD342" i="8"/>
  <c r="AD343" i="8"/>
  <c r="AD344" i="8"/>
  <c r="AD345" i="8"/>
  <c r="AD346" i="8"/>
  <c r="AD347" i="8"/>
  <c r="AD348" i="8"/>
  <c r="AD349" i="8"/>
  <c r="AD350" i="8"/>
  <c r="AD354" i="8"/>
  <c r="AD351" i="8"/>
  <c r="AD352" i="8"/>
  <c r="AD353" i="8"/>
  <c r="AD355" i="8"/>
  <c r="AD356" i="8"/>
  <c r="AD408" i="8"/>
  <c r="AC39" i="8"/>
  <c r="AD580" i="8"/>
  <c r="AD581" i="8"/>
  <c r="AD584" i="8"/>
  <c r="AD585" i="8"/>
  <c r="AD582" i="8"/>
  <c r="AD578" i="8"/>
  <c r="AD587" i="8"/>
  <c r="AE597" i="8"/>
  <c r="AD263" i="8"/>
  <c r="AD264" i="8"/>
  <c r="AD265" i="8"/>
  <c r="AD267" i="8"/>
  <c r="AD268" i="8"/>
  <c r="AD269" i="8"/>
  <c r="AD271" i="8"/>
  <c r="AD272" i="8"/>
  <c r="AD273" i="8"/>
  <c r="AD274" i="8"/>
  <c r="AD276" i="8"/>
  <c r="AD277" i="8"/>
  <c r="AD278" i="8"/>
  <c r="AD279" i="8"/>
  <c r="AD300" i="8"/>
  <c r="AD302" i="8"/>
  <c r="AE595" i="8"/>
  <c r="AB161" i="8"/>
  <c r="AD161" i="8"/>
  <c r="AB162" i="8"/>
  <c r="AD162" i="8"/>
  <c r="AB163" i="8"/>
  <c r="AD163" i="8"/>
  <c r="AB164" i="8"/>
  <c r="AD164" i="8"/>
  <c r="AB165" i="8"/>
  <c r="AD165" i="8"/>
  <c r="AB166" i="8"/>
  <c r="AD166" i="8"/>
  <c r="AD167" i="8"/>
  <c r="AB170" i="8"/>
  <c r="AD170" i="8"/>
  <c r="AB171" i="8"/>
  <c r="AD171" i="8"/>
  <c r="AB172" i="8"/>
  <c r="AD172" i="8"/>
  <c r="AB173" i="8"/>
  <c r="AD173" i="8"/>
  <c r="AB174" i="8"/>
  <c r="AD174" i="8"/>
  <c r="AD175" i="8"/>
  <c r="AB213" i="8"/>
  <c r="AD213" i="8"/>
  <c r="AB214" i="8"/>
  <c r="AD214" i="8"/>
  <c r="AB215" i="8"/>
  <c r="AD215" i="8"/>
  <c r="AB216" i="8"/>
  <c r="AD216" i="8"/>
  <c r="AB217" i="8"/>
  <c r="AD217" i="8"/>
  <c r="AD218" i="8"/>
  <c r="AB224" i="8"/>
  <c r="AD224" i="8"/>
  <c r="AB225" i="8"/>
  <c r="AD225" i="8"/>
  <c r="AB226" i="8"/>
  <c r="AD226" i="8"/>
  <c r="AB227" i="8"/>
  <c r="AD227" i="8"/>
  <c r="AB228" i="8"/>
  <c r="AD228" i="8"/>
  <c r="AD229" i="8"/>
  <c r="AB235" i="8"/>
  <c r="AD235" i="8"/>
  <c r="AB202" i="8"/>
  <c r="AD202" i="8"/>
  <c r="AB203" i="8"/>
  <c r="AD203" i="8"/>
  <c r="AB204" i="8"/>
  <c r="AD204" i="8"/>
  <c r="AB205" i="8"/>
  <c r="AD205" i="8"/>
  <c r="AB206" i="8"/>
  <c r="AD206" i="8"/>
  <c r="AB207" i="8"/>
  <c r="AD207" i="8"/>
  <c r="AB208" i="8"/>
  <c r="AD208" i="8"/>
  <c r="AB209" i="8"/>
  <c r="AD209" i="8"/>
  <c r="AD210" i="8"/>
  <c r="AB192" i="8"/>
  <c r="AD192" i="8"/>
  <c r="AB193" i="8"/>
  <c r="AD193" i="8"/>
  <c r="AB194" i="8"/>
  <c r="AD194" i="8"/>
  <c r="AB195" i="8"/>
  <c r="AD195" i="8"/>
  <c r="AB196" i="8"/>
  <c r="AD196" i="8"/>
  <c r="AD197" i="8"/>
  <c r="AB178" i="8"/>
  <c r="AD178" i="8"/>
  <c r="AB179" i="8"/>
  <c r="AD179" i="8"/>
  <c r="AB180" i="8"/>
  <c r="AD180" i="8"/>
  <c r="AB181" i="8"/>
  <c r="AD181" i="8"/>
  <c r="AB182" i="8"/>
  <c r="AD182" i="8"/>
  <c r="AB183" i="8"/>
  <c r="AD183" i="8"/>
  <c r="AB184" i="8"/>
  <c r="AD184" i="8"/>
  <c r="AB185" i="8"/>
  <c r="AD185" i="8"/>
  <c r="AB186" i="8"/>
  <c r="AD186" i="8"/>
  <c r="AB187" i="8"/>
  <c r="AD187" i="8"/>
  <c r="AB188" i="8"/>
  <c r="AD188" i="8"/>
  <c r="AD189" i="8"/>
  <c r="AB151" i="8"/>
  <c r="AD151" i="8"/>
  <c r="AB152" i="8"/>
  <c r="AD152" i="8"/>
  <c r="AB153" i="8"/>
  <c r="AD153" i="8"/>
  <c r="AB154" i="8"/>
  <c r="AD154" i="8"/>
  <c r="AB156" i="8"/>
  <c r="AD156" i="8"/>
  <c r="AB157" i="8"/>
  <c r="AD157" i="8"/>
  <c r="AD158" i="8"/>
  <c r="AE593" i="8"/>
  <c r="V606" i="8"/>
  <c r="V608" i="8"/>
  <c r="Z591" i="8"/>
  <c r="AB591" i="8"/>
  <c r="AE591" i="8"/>
  <c r="AE599" i="8"/>
  <c r="AE601" i="8"/>
  <c r="AE606" i="8"/>
  <c r="AD606" i="8"/>
  <c r="AD604" i="8"/>
  <c r="AD599" i="8"/>
  <c r="AD597" i="8"/>
  <c r="AD595" i="8"/>
  <c r="AD593" i="8"/>
  <c r="AD601" i="8"/>
  <c r="AE608" i="8"/>
  <c r="AD608" i="8"/>
  <c r="AB585" i="8"/>
  <c r="AB582" i="8"/>
  <c r="AB578" i="8"/>
  <c r="AB587" i="8"/>
  <c r="AB597" i="8"/>
  <c r="AB302" i="8"/>
  <c r="AB595" i="8"/>
  <c r="AB167" i="8"/>
  <c r="AB175" i="8"/>
  <c r="AB218" i="8"/>
  <c r="AB229" i="8"/>
  <c r="AB210" i="8"/>
  <c r="AB197" i="8"/>
  <c r="AB189" i="8"/>
  <c r="AB158" i="8"/>
  <c r="AB593" i="8"/>
  <c r="AB599" i="8"/>
  <c r="AB601" i="8"/>
  <c r="AB606" i="8"/>
  <c r="AA606" i="8"/>
  <c r="AA604" i="8"/>
  <c r="AA599" i="8"/>
  <c r="AA597" i="8"/>
  <c r="AA595" i="8"/>
  <c r="AA593" i="8"/>
  <c r="Z608" i="8"/>
  <c r="Z606" i="8"/>
  <c r="Z604" i="8"/>
  <c r="Z601" i="8"/>
  <c r="Z599" i="8"/>
  <c r="Z597" i="8"/>
  <c r="Z595" i="8"/>
  <c r="Z593" i="8"/>
  <c r="AC645" i="8"/>
  <c r="Z645" i="8"/>
  <c r="Z644" i="8"/>
  <c r="R645" i="8"/>
  <c r="AC641" i="8"/>
  <c r="Z641" i="8"/>
  <c r="R641" i="8"/>
  <c r="AC419" i="8"/>
  <c r="Z419" i="8"/>
  <c r="R419" i="8"/>
  <c r="AC87" i="8"/>
  <c r="Z87" i="8"/>
  <c r="R87" i="8"/>
  <c r="R88" i="8"/>
  <c r="AC83" i="8"/>
  <c r="Z83" i="8"/>
  <c r="R83" i="8"/>
  <c r="AC82" i="8"/>
  <c r="Z82" i="8"/>
  <c r="R82" i="8"/>
  <c r="AC81" i="8"/>
  <c r="Z81" i="8"/>
  <c r="R81" i="8"/>
  <c r="Z384" i="8"/>
  <c r="Z373" i="8"/>
  <c r="Z356" i="8"/>
  <c r="Z405" i="8"/>
  <c r="Z408" i="8"/>
  <c r="X376" i="8"/>
  <c r="X377" i="8"/>
  <c r="X378" i="8"/>
  <c r="X379" i="8"/>
  <c r="X380" i="8"/>
  <c r="X381" i="8"/>
  <c r="X382" i="8"/>
  <c r="X383" i="8"/>
  <c r="X384" i="8"/>
  <c r="X362" i="8"/>
  <c r="X363" i="8"/>
  <c r="X364" i="8"/>
  <c r="X365" i="8"/>
  <c r="X366" i="8"/>
  <c r="X368" i="8"/>
  <c r="X367" i="8"/>
  <c r="X369" i="8"/>
  <c r="X370" i="8"/>
  <c r="X371" i="8"/>
  <c r="X372" i="8"/>
  <c r="X373" i="8"/>
  <c r="X342" i="8"/>
  <c r="X343" i="8"/>
  <c r="X344" i="8"/>
  <c r="X345" i="8"/>
  <c r="X346" i="8"/>
  <c r="X347" i="8"/>
  <c r="X348" i="8"/>
  <c r="X349" i="8"/>
  <c r="X350" i="8"/>
  <c r="X354" i="8"/>
  <c r="X353" i="8"/>
  <c r="X351" i="8"/>
  <c r="X352" i="8"/>
  <c r="X355" i="8"/>
  <c r="X356" i="8"/>
  <c r="P388" i="8"/>
  <c r="T388" i="8"/>
  <c r="V388" i="8"/>
  <c r="X388" i="8"/>
  <c r="P389" i="8"/>
  <c r="T389" i="8"/>
  <c r="V389" i="8"/>
  <c r="X389" i="8"/>
  <c r="P390" i="8"/>
  <c r="T390" i="8"/>
  <c r="V390" i="8"/>
  <c r="X390" i="8"/>
  <c r="T391" i="8"/>
  <c r="V391" i="8"/>
  <c r="X391" i="8"/>
  <c r="P393" i="8"/>
  <c r="T393" i="8"/>
  <c r="V393" i="8"/>
  <c r="X393" i="8"/>
  <c r="P394" i="8"/>
  <c r="T394" i="8"/>
  <c r="V394" i="8"/>
  <c r="X394" i="8"/>
  <c r="P395" i="8"/>
  <c r="T395" i="8"/>
  <c r="V395" i="8"/>
  <c r="X395" i="8"/>
  <c r="T396" i="8"/>
  <c r="V396" i="8"/>
  <c r="X396" i="8"/>
  <c r="P398" i="8"/>
  <c r="T398" i="8"/>
  <c r="V398" i="8"/>
  <c r="X398" i="8"/>
  <c r="P399" i="8"/>
  <c r="T399" i="8"/>
  <c r="V399" i="8"/>
  <c r="X399" i="8"/>
  <c r="P400" i="8"/>
  <c r="T400" i="8"/>
  <c r="V400" i="8"/>
  <c r="X400" i="8"/>
  <c r="X401" i="8"/>
  <c r="X402" i="8"/>
  <c r="X403" i="8"/>
  <c r="X404" i="8"/>
  <c r="X405" i="8"/>
  <c r="X408" i="8"/>
  <c r="T384" i="8"/>
  <c r="T373" i="8"/>
  <c r="T356" i="8"/>
  <c r="T405" i="8"/>
  <c r="T408" i="8"/>
  <c r="AC404" i="8"/>
  <c r="Z404" i="8"/>
  <c r="R404" i="8"/>
  <c r="AC403" i="8"/>
  <c r="Z403" i="8"/>
  <c r="R403" i="8"/>
  <c r="AC402" i="8"/>
  <c r="Z402" i="8"/>
  <c r="R402" i="8"/>
  <c r="AC401" i="8"/>
  <c r="Z401" i="8"/>
  <c r="R401" i="8"/>
  <c r="AB400" i="8"/>
  <c r="AD400" i="8"/>
  <c r="AC400" i="8"/>
  <c r="Z400" i="8"/>
  <c r="R400" i="8"/>
  <c r="AB399" i="8"/>
  <c r="AD399" i="8"/>
  <c r="AC399" i="8"/>
  <c r="Z399" i="8"/>
  <c r="R399" i="8"/>
  <c r="AB398" i="8"/>
  <c r="AD398" i="8"/>
  <c r="AC398" i="8"/>
  <c r="Z398" i="8"/>
  <c r="R398" i="8"/>
  <c r="AB396" i="8"/>
  <c r="AD396" i="8"/>
  <c r="AC396" i="8"/>
  <c r="Z396" i="8"/>
  <c r="R396" i="8"/>
  <c r="AB395" i="8"/>
  <c r="AD395" i="8"/>
  <c r="AC395" i="8"/>
  <c r="Z395" i="8"/>
  <c r="R395" i="8"/>
  <c r="AB394" i="8"/>
  <c r="AD394" i="8"/>
  <c r="AC394" i="8"/>
  <c r="Z394" i="8"/>
  <c r="R394" i="8"/>
  <c r="AB393" i="8"/>
  <c r="AD393" i="8"/>
  <c r="AC393" i="8"/>
  <c r="Z393" i="8"/>
  <c r="R393" i="8"/>
  <c r="AB391" i="8"/>
  <c r="AD391" i="8"/>
  <c r="AC391" i="8"/>
  <c r="Z391" i="8"/>
  <c r="R391" i="8"/>
  <c r="AB390" i="8"/>
  <c r="AD390" i="8"/>
  <c r="AC390" i="8"/>
  <c r="Z390" i="8"/>
  <c r="R390" i="8"/>
  <c r="AB389" i="8"/>
  <c r="AD389" i="8"/>
  <c r="AC389" i="8"/>
  <c r="Z389" i="8"/>
  <c r="R389" i="8"/>
  <c r="AB388" i="8"/>
  <c r="AD388" i="8"/>
  <c r="AC388" i="8"/>
  <c r="Z388" i="8"/>
  <c r="R388" i="8"/>
  <c r="Z492" i="8"/>
  <c r="Z491" i="8"/>
  <c r="Z490" i="8"/>
  <c r="Z489" i="8"/>
  <c r="Z488" i="8"/>
  <c r="Z487" i="8"/>
  <c r="Z486" i="8"/>
  <c r="Z485" i="8"/>
  <c r="Z484" i="8"/>
  <c r="AC377" i="8"/>
  <c r="Z377" i="8"/>
  <c r="R377" i="8"/>
  <c r="AC449" i="8"/>
  <c r="Z449" i="8"/>
  <c r="R449" i="8"/>
  <c r="AC459" i="8"/>
  <c r="Z459" i="8"/>
  <c r="R459" i="8"/>
  <c r="Z566" i="8"/>
  <c r="AC565" i="8"/>
  <c r="Z565" i="8"/>
  <c r="R565" i="8"/>
  <c r="AC564" i="8"/>
  <c r="Z564" i="8"/>
  <c r="R564" i="8"/>
  <c r="AC563" i="8"/>
  <c r="Z563" i="8"/>
  <c r="R563" i="8"/>
  <c r="AC562" i="8"/>
  <c r="Z562" i="8"/>
  <c r="R562" i="8"/>
  <c r="AB561" i="8"/>
  <c r="AD561" i="8"/>
  <c r="AC561" i="8"/>
  <c r="Z561" i="8"/>
  <c r="R561" i="8"/>
  <c r="AB560" i="8"/>
  <c r="AD560" i="8"/>
  <c r="AC560" i="8"/>
  <c r="Z560" i="8"/>
  <c r="R560" i="8"/>
  <c r="AB559" i="8"/>
  <c r="AD559" i="8"/>
  <c r="AC559" i="8"/>
  <c r="Z559" i="8"/>
  <c r="R559" i="8"/>
  <c r="AB557" i="8"/>
  <c r="AD557" i="8"/>
  <c r="AC557" i="8"/>
  <c r="Z557" i="8"/>
  <c r="R557" i="8"/>
  <c r="AB556" i="8"/>
  <c r="AD556" i="8"/>
  <c r="AC556" i="8"/>
  <c r="Z556" i="8"/>
  <c r="R556" i="8"/>
  <c r="AB555" i="8"/>
  <c r="AD555" i="8"/>
  <c r="AC555" i="8"/>
  <c r="Z555" i="8"/>
  <c r="R555" i="8"/>
  <c r="AB554" i="8"/>
  <c r="AD554" i="8"/>
  <c r="AC554" i="8"/>
  <c r="Z554" i="8"/>
  <c r="R554" i="8"/>
  <c r="AB552" i="8"/>
  <c r="AD552" i="8"/>
  <c r="AC552" i="8"/>
  <c r="Z552" i="8"/>
  <c r="R552" i="8"/>
  <c r="AB551" i="8"/>
  <c r="AD551" i="8"/>
  <c r="AC551" i="8"/>
  <c r="Z551" i="8"/>
  <c r="R551" i="8"/>
  <c r="AB550" i="8"/>
  <c r="AD550" i="8"/>
  <c r="AC550" i="8"/>
  <c r="Z550" i="8"/>
  <c r="R550" i="8"/>
  <c r="AB549" i="8"/>
  <c r="AD549" i="8"/>
  <c r="AC549" i="8"/>
  <c r="Z549" i="8"/>
  <c r="R549" i="8"/>
  <c r="AF604" i="8"/>
  <c r="AF599" i="8"/>
  <c r="AF595" i="8"/>
  <c r="AF593" i="8"/>
  <c r="AB608" i="8"/>
  <c r="AC608" i="8"/>
  <c r="AC606" i="8"/>
  <c r="AC604" i="8"/>
  <c r="AC601" i="8"/>
  <c r="AC599" i="8"/>
  <c r="AC597" i="8"/>
  <c r="AC595" i="8"/>
  <c r="AC593" i="8"/>
  <c r="AC465" i="8"/>
  <c r="AC466" i="8"/>
  <c r="AC467" i="8"/>
  <c r="Z467" i="8"/>
  <c r="R467" i="8"/>
  <c r="AC458" i="8"/>
  <c r="AC455" i="8"/>
  <c r="Z455" i="8"/>
  <c r="Z458" i="8"/>
  <c r="R458" i="8"/>
  <c r="AC420" i="8"/>
  <c r="Z420" i="8"/>
  <c r="R420" i="8"/>
  <c r="AC416" i="8"/>
  <c r="AC382" i="8"/>
  <c r="Z382" i="8"/>
  <c r="R382" i="8"/>
  <c r="AC368" i="8"/>
  <c r="Z368" i="8"/>
  <c r="R368" i="8"/>
  <c r="AC367" i="8"/>
  <c r="Z367" i="8"/>
  <c r="R367" i="8"/>
  <c r="AC366" i="8"/>
  <c r="Z366" i="8"/>
  <c r="R366" i="8"/>
  <c r="AC365" i="8"/>
  <c r="Z365" i="8"/>
  <c r="R365" i="8"/>
  <c r="AC364" i="8"/>
  <c r="Z364" i="8"/>
  <c r="R364" i="8"/>
  <c r="AC363" i="8"/>
  <c r="Z363" i="8"/>
  <c r="R363" i="8"/>
  <c r="AC353" i="8"/>
  <c r="Z353" i="8"/>
  <c r="R353" i="8"/>
  <c r="AC352" i="8"/>
  <c r="Z352" i="8"/>
  <c r="R352" i="8"/>
  <c r="AC351" i="8"/>
  <c r="Z351" i="8"/>
  <c r="R351" i="8"/>
  <c r="AC350" i="8"/>
  <c r="Z350" i="8"/>
  <c r="R350" i="8"/>
  <c r="AC349" i="8"/>
  <c r="Z349" i="8"/>
  <c r="R349" i="8"/>
  <c r="AC348" i="8"/>
  <c r="Z348" i="8"/>
  <c r="R348" i="8"/>
  <c r="AC347" i="8"/>
  <c r="Z347" i="8"/>
  <c r="R347" i="8"/>
  <c r="AC346" i="8"/>
  <c r="Z346" i="8"/>
  <c r="R346" i="8"/>
  <c r="AC354" i="8"/>
  <c r="Z354" i="8"/>
  <c r="R354" i="8"/>
  <c r="AC355" i="8"/>
  <c r="Z355" i="8"/>
  <c r="R355" i="8"/>
  <c r="AD322" i="8"/>
  <c r="AC322" i="8"/>
  <c r="Z322" i="8"/>
  <c r="X322" i="8"/>
  <c r="R322" i="8"/>
  <c r="AD320" i="8"/>
  <c r="AC320" i="8"/>
  <c r="Z320" i="8"/>
  <c r="X320" i="8"/>
  <c r="R320" i="8"/>
  <c r="AD319" i="8"/>
  <c r="AC319" i="8"/>
  <c r="Z319" i="8"/>
  <c r="X319" i="8"/>
  <c r="R319" i="8"/>
  <c r="AD318" i="8"/>
  <c r="AC318" i="8"/>
  <c r="Z318" i="8"/>
  <c r="X318" i="8"/>
  <c r="R318" i="8"/>
  <c r="AD317" i="8"/>
  <c r="AC317" i="8"/>
  <c r="Z317" i="8"/>
  <c r="X317" i="8"/>
  <c r="R317" i="8"/>
  <c r="AD315" i="8"/>
  <c r="AC315" i="8"/>
  <c r="Z315" i="8"/>
  <c r="X315" i="8"/>
  <c r="R315" i="8"/>
  <c r="AD314" i="8"/>
  <c r="AC314" i="8"/>
  <c r="Z314" i="8"/>
  <c r="X314" i="8"/>
  <c r="R314" i="8"/>
  <c r="AD313" i="8"/>
  <c r="AC313" i="8"/>
  <c r="Z313" i="8"/>
  <c r="X313" i="8"/>
  <c r="R313" i="8"/>
  <c r="AD311" i="8"/>
  <c r="AC311" i="8"/>
  <c r="Z311" i="8"/>
  <c r="X311" i="8"/>
  <c r="R311" i="8"/>
  <c r="AD310" i="8"/>
  <c r="AC310" i="8"/>
  <c r="Z310" i="8"/>
  <c r="X310" i="8"/>
  <c r="R310" i="8"/>
  <c r="AD309" i="8"/>
  <c r="AC309" i="8"/>
  <c r="Z309" i="8"/>
  <c r="X309" i="8"/>
  <c r="R309" i="8"/>
  <c r="X263" i="8"/>
  <c r="X264" i="8"/>
  <c r="X265" i="8"/>
  <c r="X267" i="8"/>
  <c r="X268" i="8"/>
  <c r="X269" i="8"/>
  <c r="X271" i="8"/>
  <c r="X272" i="8"/>
  <c r="X273" i="8"/>
  <c r="X274" i="8"/>
  <c r="X276" i="8"/>
  <c r="X277" i="8"/>
  <c r="X278" i="8"/>
  <c r="X279" i="8"/>
  <c r="P283" i="8"/>
  <c r="T283" i="8"/>
  <c r="V283" i="8"/>
  <c r="X283" i="8"/>
  <c r="P284" i="8"/>
  <c r="T284" i="8"/>
  <c r="V284" i="8"/>
  <c r="X284" i="8"/>
  <c r="P285" i="8"/>
  <c r="T285" i="8"/>
  <c r="V285" i="8"/>
  <c r="X285" i="8"/>
  <c r="T286" i="8"/>
  <c r="V286" i="8"/>
  <c r="X286" i="8"/>
  <c r="P288" i="8"/>
  <c r="T288" i="8"/>
  <c r="V288" i="8"/>
  <c r="X288" i="8"/>
  <c r="P289" i="8"/>
  <c r="T289" i="8"/>
  <c r="V289" i="8"/>
  <c r="X289" i="8"/>
  <c r="P290" i="8"/>
  <c r="T290" i="8"/>
  <c r="V290" i="8"/>
  <c r="X290" i="8"/>
  <c r="T291" i="8"/>
  <c r="V291" i="8"/>
  <c r="X291" i="8"/>
  <c r="P293" i="8"/>
  <c r="T293" i="8"/>
  <c r="V293" i="8"/>
  <c r="X293" i="8"/>
  <c r="P294" i="8"/>
  <c r="T294" i="8"/>
  <c r="V294" i="8"/>
  <c r="X294" i="8"/>
  <c r="P295" i="8"/>
  <c r="T295" i="8"/>
  <c r="V295" i="8"/>
  <c r="X295" i="8"/>
  <c r="X296" i="8"/>
  <c r="X297" i="8"/>
  <c r="X298" i="8"/>
  <c r="X299" i="8"/>
  <c r="X300" i="8"/>
  <c r="X302" i="8"/>
  <c r="T279" i="8"/>
  <c r="T300" i="8"/>
  <c r="T302" i="8"/>
  <c r="AC300" i="8"/>
  <c r="Z300" i="8"/>
  <c r="AB299" i="8"/>
  <c r="AD299" i="8"/>
  <c r="AC299" i="8"/>
  <c r="Z299" i="8"/>
  <c r="R299" i="8"/>
  <c r="AB298" i="8"/>
  <c r="AD298" i="8"/>
  <c r="AC298" i="8"/>
  <c r="Z298" i="8"/>
  <c r="R298" i="8"/>
  <c r="AB297" i="8"/>
  <c r="AD297" i="8"/>
  <c r="AC297" i="8"/>
  <c r="Z297" i="8"/>
  <c r="R297" i="8"/>
  <c r="AB296" i="8"/>
  <c r="AD296" i="8"/>
  <c r="AC296" i="8"/>
  <c r="Z296" i="8"/>
  <c r="R296" i="8"/>
  <c r="AB295" i="8"/>
  <c r="AD295" i="8"/>
  <c r="AC295" i="8"/>
  <c r="Z295" i="8"/>
  <c r="R295" i="8"/>
  <c r="AB294" i="8"/>
  <c r="AD294" i="8"/>
  <c r="AC294" i="8"/>
  <c r="Z294" i="8"/>
  <c r="R294" i="8"/>
  <c r="AB293" i="8"/>
  <c r="AD293" i="8"/>
  <c r="AC293" i="8"/>
  <c r="Z293" i="8"/>
  <c r="R293" i="8"/>
  <c r="AB291" i="8"/>
  <c r="AD291" i="8"/>
  <c r="AC291" i="8"/>
  <c r="Z291" i="8"/>
  <c r="R291" i="8"/>
  <c r="AB290" i="8"/>
  <c r="AD290" i="8"/>
  <c r="AC290" i="8"/>
  <c r="Z290" i="8"/>
  <c r="R290" i="8"/>
  <c r="AB289" i="8"/>
  <c r="AD289" i="8"/>
  <c r="AC289" i="8"/>
  <c r="Z289" i="8"/>
  <c r="R289" i="8"/>
  <c r="AB288" i="8"/>
  <c r="AD288" i="8"/>
  <c r="AC288" i="8"/>
  <c r="Z288" i="8"/>
  <c r="R288" i="8"/>
  <c r="AB286" i="8"/>
  <c r="AD286" i="8"/>
  <c r="AC286" i="8"/>
  <c r="Z286" i="8"/>
  <c r="R286" i="8"/>
  <c r="AB285" i="8"/>
  <c r="AD285" i="8"/>
  <c r="AC285" i="8"/>
  <c r="Z285" i="8"/>
  <c r="R285" i="8"/>
  <c r="AB284" i="8"/>
  <c r="AD284" i="8"/>
  <c r="AC284" i="8"/>
  <c r="Z284" i="8"/>
  <c r="R284" i="8"/>
  <c r="AB283" i="8"/>
  <c r="AD283" i="8"/>
  <c r="AC283" i="8"/>
  <c r="Z283" i="8"/>
  <c r="R283" i="8"/>
  <c r="AC277" i="8"/>
  <c r="Z277" i="8"/>
  <c r="R277" i="8"/>
  <c r="AC276" i="8"/>
  <c r="Z276" i="8"/>
  <c r="R276" i="8"/>
  <c r="AC274" i="8"/>
  <c r="Z274" i="8"/>
  <c r="R274" i="8"/>
  <c r="AC273" i="8"/>
  <c r="Z273" i="8"/>
  <c r="R273" i="8"/>
  <c r="AC272" i="8"/>
  <c r="Z272" i="8"/>
  <c r="R272" i="8"/>
  <c r="AC271" i="8"/>
  <c r="Z271" i="8"/>
  <c r="R271" i="8"/>
  <c r="AC269" i="8"/>
  <c r="Z269" i="8"/>
  <c r="R269" i="8"/>
  <c r="AC268" i="8"/>
  <c r="Z268" i="8"/>
  <c r="R268" i="8"/>
  <c r="AC267" i="8"/>
  <c r="Z267" i="8"/>
  <c r="R267" i="8"/>
  <c r="AC265" i="8"/>
  <c r="Z265" i="8"/>
  <c r="R265" i="8"/>
  <c r="C55" i="14"/>
  <c r="C54" i="14"/>
  <c r="AC42" i="8"/>
  <c r="Z42" i="8"/>
  <c r="R42" i="8"/>
  <c r="AC66" i="8"/>
  <c r="Z66" i="8"/>
  <c r="R66" i="8"/>
  <c r="P140" i="8"/>
  <c r="P119" i="8"/>
  <c r="AC106" i="8"/>
  <c r="Z106" i="8"/>
  <c r="R106" i="8"/>
  <c r="AC98" i="8"/>
  <c r="Z98" i="8"/>
  <c r="R98" i="8"/>
  <c r="AC85" i="8"/>
  <c r="Z85" i="8"/>
  <c r="R85" i="8"/>
  <c r="AB254" i="8"/>
  <c r="AD254" i="8"/>
  <c r="AC254" i="8"/>
  <c r="Z254" i="8"/>
  <c r="R254" i="8"/>
  <c r="AB253" i="8"/>
  <c r="AD253" i="8"/>
  <c r="AC253" i="8"/>
  <c r="Z253" i="8"/>
  <c r="R253" i="8"/>
  <c r="AB252" i="8"/>
  <c r="AD252" i="8"/>
  <c r="AC252" i="8"/>
  <c r="Z252" i="8"/>
  <c r="R252" i="8"/>
  <c r="AB251" i="8"/>
  <c r="AD251" i="8"/>
  <c r="AC251" i="8"/>
  <c r="Z251" i="8"/>
  <c r="R251" i="8"/>
  <c r="AB250" i="8"/>
  <c r="AD250" i="8"/>
  <c r="AC250" i="8"/>
  <c r="Z250" i="8"/>
  <c r="R250" i="8"/>
  <c r="AB249" i="8"/>
  <c r="AD249" i="8"/>
  <c r="AC249" i="8"/>
  <c r="Z249" i="8"/>
  <c r="R249" i="8"/>
  <c r="AB247" i="8"/>
  <c r="AD247" i="8"/>
  <c r="AC247" i="8"/>
  <c r="Z247" i="8"/>
  <c r="R247" i="8"/>
  <c r="AB246" i="8"/>
  <c r="AD246" i="8"/>
  <c r="AC246" i="8"/>
  <c r="Z246" i="8"/>
  <c r="R246" i="8"/>
  <c r="AB245" i="8"/>
  <c r="AD245" i="8"/>
  <c r="AC245" i="8"/>
  <c r="Z245" i="8"/>
  <c r="R245" i="8"/>
  <c r="AB244" i="8"/>
  <c r="AD244" i="8"/>
  <c r="AC244" i="8"/>
  <c r="Z244" i="8"/>
  <c r="R244" i="8"/>
  <c r="AB242" i="8"/>
  <c r="AD242" i="8"/>
  <c r="AC242" i="8"/>
  <c r="Z242" i="8"/>
  <c r="R242" i="8"/>
  <c r="AB241" i="8"/>
  <c r="AD241" i="8"/>
  <c r="AC241" i="8"/>
  <c r="Z241" i="8"/>
  <c r="R241" i="8"/>
  <c r="AB240" i="8"/>
  <c r="AD240" i="8"/>
  <c r="AC240" i="8"/>
  <c r="Z240" i="8"/>
  <c r="R240" i="8"/>
  <c r="AD543" i="8"/>
  <c r="AC543" i="8"/>
  <c r="Z543" i="8"/>
  <c r="R543" i="8"/>
  <c r="AD544" i="8"/>
  <c r="AC544" i="8"/>
  <c r="Z544" i="8"/>
  <c r="R544" i="8"/>
  <c r="AD542" i="8"/>
  <c r="AC542" i="8"/>
  <c r="Z542" i="8"/>
  <c r="R542" i="8"/>
  <c r="AD541" i="8"/>
  <c r="AC541" i="8"/>
  <c r="Z541" i="8"/>
  <c r="R541" i="8"/>
  <c r="AD540" i="8"/>
  <c r="AC540" i="8"/>
  <c r="Z540" i="8"/>
  <c r="R540" i="8"/>
  <c r="AD539" i="8"/>
  <c r="AC539" i="8"/>
  <c r="Z539" i="8"/>
  <c r="R539" i="8"/>
  <c r="AC529" i="8"/>
  <c r="Z529" i="8"/>
  <c r="R529" i="8"/>
  <c r="Z528" i="8"/>
  <c r="R528" i="8"/>
  <c r="AC527" i="8"/>
  <c r="Z527" i="8"/>
  <c r="R527" i="8"/>
  <c r="AC525" i="8"/>
  <c r="Z525" i="8"/>
  <c r="R525" i="8"/>
  <c r="AC524" i="8"/>
  <c r="Z524" i="8"/>
  <c r="R524" i="8"/>
  <c r="AC523" i="8"/>
  <c r="Z523" i="8"/>
  <c r="R523" i="8"/>
  <c r="AC522" i="8"/>
  <c r="Z522" i="8"/>
  <c r="R522" i="8"/>
  <c r="AC517" i="8"/>
  <c r="Z517" i="8"/>
  <c r="R517" i="8"/>
  <c r="AC516" i="8"/>
  <c r="Z516" i="8"/>
  <c r="R516" i="8"/>
  <c r="AC514" i="8"/>
  <c r="Z514" i="8"/>
  <c r="R514" i="8"/>
  <c r="AC513" i="8"/>
  <c r="Z513" i="8"/>
  <c r="R513" i="8"/>
  <c r="AC512" i="8"/>
  <c r="Z512" i="8"/>
  <c r="R512" i="8"/>
  <c r="AC508" i="8"/>
  <c r="Z508" i="8"/>
  <c r="R508" i="8"/>
  <c r="AC507" i="8"/>
  <c r="Z507" i="8"/>
  <c r="R507" i="8"/>
  <c r="AC506" i="8"/>
  <c r="Z506" i="8"/>
  <c r="R506" i="8"/>
  <c r="AC504" i="8"/>
  <c r="Z504" i="8"/>
  <c r="R504" i="8"/>
  <c r="AC503" i="8"/>
  <c r="Z503" i="8"/>
  <c r="R503" i="8"/>
  <c r="AC502" i="8"/>
  <c r="Z502" i="8"/>
  <c r="R502" i="8"/>
  <c r="AC501" i="8"/>
  <c r="Z501" i="8"/>
  <c r="R501" i="8"/>
  <c r="AC500" i="8"/>
  <c r="Z500" i="8"/>
  <c r="R500" i="8"/>
  <c r="P223" i="8"/>
  <c r="P222" i="8"/>
  <c r="J223" i="8"/>
  <c r="J222" i="8"/>
  <c r="AC205" i="8"/>
  <c r="Z205" i="8"/>
  <c r="X205" i="8"/>
  <c r="R205" i="8"/>
  <c r="AC138" i="8"/>
  <c r="Z138" i="8"/>
  <c r="R138" i="8"/>
  <c r="AC137" i="8"/>
  <c r="Z137" i="8"/>
  <c r="R137" i="8"/>
  <c r="AC136" i="8"/>
  <c r="Z136" i="8"/>
  <c r="R136" i="8"/>
  <c r="AC134" i="8"/>
  <c r="Z134" i="8"/>
  <c r="R134" i="8"/>
  <c r="AC133" i="8"/>
  <c r="Z133" i="8"/>
  <c r="R133" i="8"/>
  <c r="AC132" i="8"/>
  <c r="Z132" i="8"/>
  <c r="R132" i="8"/>
  <c r="AC129" i="8"/>
  <c r="Z129" i="8"/>
  <c r="R129" i="8"/>
  <c r="AC128" i="8"/>
  <c r="Z128" i="8"/>
  <c r="R128" i="8"/>
  <c r="Z143" i="8"/>
  <c r="AC142" i="8"/>
  <c r="Z142" i="8"/>
  <c r="R142" i="8"/>
  <c r="AC141" i="8"/>
  <c r="Z141" i="8"/>
  <c r="R141" i="8"/>
  <c r="AC139" i="8"/>
  <c r="Z139" i="8"/>
  <c r="R139" i="8"/>
  <c r="AC135" i="8"/>
  <c r="Z135" i="8"/>
  <c r="R135" i="8"/>
  <c r="AC131" i="8"/>
  <c r="Z131" i="8"/>
  <c r="R131" i="8"/>
  <c r="AC130" i="8"/>
  <c r="Z130" i="8"/>
  <c r="R130" i="8"/>
  <c r="AC127" i="8"/>
  <c r="Z127" i="8"/>
  <c r="R127" i="8"/>
  <c r="AC126" i="8"/>
  <c r="Z126" i="8"/>
  <c r="R126" i="8"/>
  <c r="AC118" i="8"/>
  <c r="Z118" i="8"/>
  <c r="R118" i="8"/>
  <c r="AC117" i="8"/>
  <c r="Z117" i="8"/>
  <c r="R117" i="8"/>
  <c r="AC116" i="8"/>
  <c r="Z116" i="8"/>
  <c r="R116" i="8"/>
  <c r="AC115" i="8"/>
  <c r="Z115" i="8"/>
  <c r="R115" i="8"/>
  <c r="AC114" i="8"/>
  <c r="Z114" i="8"/>
  <c r="R114" i="8"/>
  <c r="AC97" i="8"/>
  <c r="AC96" i="8"/>
  <c r="AC95" i="8"/>
  <c r="AC94" i="8"/>
  <c r="AC93" i="8"/>
  <c r="Z97" i="8"/>
  <c r="Z96" i="8"/>
  <c r="Z95" i="8"/>
  <c r="Z94" i="8"/>
  <c r="Z93" i="8"/>
  <c r="R97" i="8"/>
  <c r="R96" i="8"/>
  <c r="R95" i="8"/>
  <c r="R94" i="8"/>
  <c r="R93" i="8"/>
  <c r="AC78" i="8"/>
  <c r="Z78" i="8"/>
  <c r="R78" i="8"/>
  <c r="AC77" i="8"/>
  <c r="Z77" i="8"/>
  <c r="R77" i="8"/>
  <c r="AC76" i="8"/>
  <c r="Z76" i="8"/>
  <c r="R76" i="8"/>
  <c r="AC75" i="8"/>
  <c r="Z75" i="8"/>
  <c r="R75" i="8"/>
  <c r="AC74" i="8"/>
  <c r="Z74" i="8"/>
  <c r="R74" i="8"/>
  <c r="AC41" i="8"/>
  <c r="AC40" i="8"/>
  <c r="AC38" i="8"/>
  <c r="AC37" i="8"/>
  <c r="Z41" i="8"/>
  <c r="Z40" i="8"/>
  <c r="Z39" i="8"/>
  <c r="Z38" i="8"/>
  <c r="Z37" i="8"/>
  <c r="R41" i="8"/>
  <c r="R40" i="8"/>
  <c r="R39" i="8"/>
  <c r="R38" i="8"/>
  <c r="R37" i="8"/>
  <c r="AC27" i="8"/>
  <c r="AC26" i="8"/>
  <c r="AC25" i="8"/>
  <c r="Z27" i="8"/>
  <c r="Z26" i="8"/>
  <c r="Z25" i="8"/>
  <c r="Z24" i="8"/>
  <c r="R27" i="8"/>
  <c r="R25" i="8"/>
  <c r="C38" i="14"/>
  <c r="C51" i="14"/>
  <c r="C50" i="14"/>
  <c r="C49" i="14"/>
  <c r="C48" i="14"/>
  <c r="L27" i="8"/>
  <c r="C22" i="14"/>
  <c r="C21" i="14"/>
  <c r="C20" i="14"/>
  <c r="C17" i="14"/>
  <c r="C16" i="14"/>
  <c r="C15" i="14"/>
  <c r="C14" i="14"/>
  <c r="C11" i="14"/>
  <c r="C10" i="14"/>
  <c r="C9" i="14"/>
  <c r="B40" i="14"/>
  <c r="C40" i="14"/>
  <c r="C37" i="14"/>
  <c r="C36" i="14"/>
  <c r="AD535" i="8"/>
  <c r="AC535" i="8"/>
  <c r="Z535" i="8"/>
  <c r="R535" i="8"/>
  <c r="AD534" i="8"/>
  <c r="AC534" i="8"/>
  <c r="Z534" i="8"/>
  <c r="R534" i="8"/>
  <c r="AD533" i="8"/>
  <c r="AC533" i="8"/>
  <c r="Z533" i="8"/>
  <c r="R533" i="8"/>
  <c r="AC381" i="8"/>
  <c r="Z381" i="8"/>
  <c r="R381" i="8"/>
  <c r="AC380" i="8"/>
  <c r="AC379" i="8"/>
  <c r="Z383" i="8"/>
  <c r="Z380" i="8"/>
  <c r="Z379" i="8"/>
  <c r="R380" i="8"/>
  <c r="R379" i="8"/>
  <c r="Z371" i="8"/>
  <c r="Z370" i="8"/>
  <c r="Z369" i="8"/>
  <c r="X601" i="8"/>
  <c r="X606" i="8"/>
  <c r="T580" i="8"/>
  <c r="T581" i="8"/>
  <c r="T584" i="8"/>
  <c r="T585" i="8"/>
  <c r="T582" i="8"/>
  <c r="T578" i="8"/>
  <c r="T587" i="8"/>
  <c r="T597" i="8"/>
  <c r="T197" i="8"/>
  <c r="T167" i="8"/>
  <c r="T175" i="8"/>
  <c r="T218" i="8"/>
  <c r="T229" i="8"/>
  <c r="T235" i="8"/>
  <c r="T210" i="8"/>
  <c r="T189" i="8"/>
  <c r="T155" i="8"/>
  <c r="T158" i="8"/>
  <c r="T593" i="8"/>
  <c r="T599" i="8"/>
  <c r="T595" i="8"/>
  <c r="T12" i="8"/>
  <c r="T13" i="8"/>
  <c r="T591" i="8"/>
  <c r="T601" i="8"/>
  <c r="T606" i="8"/>
  <c r="AC378" i="8"/>
  <c r="Z378" i="8"/>
  <c r="R378" i="8"/>
  <c r="AD323" i="8"/>
  <c r="AC323" i="8"/>
  <c r="Z323" i="8"/>
  <c r="AC213" i="8"/>
  <c r="Z213" i="8"/>
  <c r="Z227" i="8"/>
  <c r="X227" i="8"/>
  <c r="R227" i="8"/>
  <c r="AC207" i="8"/>
  <c r="Z207" i="8"/>
  <c r="X207" i="8"/>
  <c r="R207" i="8"/>
  <c r="AC203" i="8"/>
  <c r="Z203" i="8"/>
  <c r="X203" i="8"/>
  <c r="R203" i="8"/>
  <c r="T223" i="8"/>
  <c r="V223" i="8"/>
  <c r="AB223" i="8"/>
  <c r="AD223" i="8"/>
  <c r="AC223" i="8"/>
  <c r="Z223" i="8"/>
  <c r="X223" i="8"/>
  <c r="R223" i="8"/>
  <c r="AA587" i="8"/>
  <c r="T608" i="8"/>
  <c r="R155" i="8"/>
  <c r="AC30" i="8"/>
  <c r="Z30" i="8"/>
  <c r="R30" i="8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1" i="13"/>
  <c r="C42" i="13"/>
  <c r="C44" i="13"/>
  <c r="C45" i="13"/>
  <c r="C46" i="13"/>
  <c r="C47" i="13"/>
  <c r="C48" i="13"/>
  <c r="C49" i="13"/>
  <c r="C50" i="13"/>
  <c r="C51" i="13"/>
  <c r="AC644" i="8"/>
  <c r="R644" i="8"/>
  <c r="X608" i="8"/>
  <c r="AC383" i="8"/>
  <c r="R383" i="8"/>
  <c r="X599" i="8"/>
  <c r="AC483" i="8"/>
  <c r="AC484" i="8"/>
  <c r="AC485" i="8"/>
  <c r="AC486" i="8"/>
  <c r="AC487" i="8"/>
  <c r="AC488" i="8"/>
  <c r="AC489" i="8"/>
  <c r="AC490" i="8"/>
  <c r="AC491" i="8"/>
  <c r="AC492" i="8"/>
  <c r="AC493" i="8"/>
  <c r="AC494" i="8"/>
  <c r="R484" i="8"/>
  <c r="R485" i="8"/>
  <c r="R486" i="8"/>
  <c r="R487" i="8"/>
  <c r="R488" i="8"/>
  <c r="R489" i="8"/>
  <c r="R490" i="8"/>
  <c r="R491" i="8"/>
  <c r="R492" i="8"/>
  <c r="X323" i="8"/>
  <c r="R323" i="8"/>
  <c r="AA608" i="8"/>
  <c r="AA601" i="8"/>
  <c r="AA584" i="8"/>
  <c r="AA581" i="8"/>
  <c r="AA580" i="8"/>
  <c r="AA577" i="8"/>
  <c r="AA576" i="8"/>
  <c r="AA568" i="8"/>
  <c r="Z545" i="8"/>
  <c r="Z536" i="8"/>
  <c r="Z530" i="8"/>
  <c r="Z518" i="8"/>
  <c r="Z509" i="8"/>
  <c r="Z495" i="8"/>
  <c r="Z494" i="8"/>
  <c r="R494" i="8"/>
  <c r="Z493" i="8"/>
  <c r="R493" i="8"/>
  <c r="Z483" i="8"/>
  <c r="R483" i="8"/>
  <c r="AC482" i="8"/>
  <c r="Z482" i="8"/>
  <c r="R482" i="8"/>
  <c r="Z479" i="8"/>
  <c r="AC478" i="8"/>
  <c r="Z478" i="8"/>
  <c r="R478" i="8"/>
  <c r="AC477" i="8"/>
  <c r="Z477" i="8"/>
  <c r="R477" i="8"/>
  <c r="AC476" i="8"/>
  <c r="Z476" i="8"/>
  <c r="R476" i="8"/>
  <c r="AC475" i="8"/>
  <c r="Z475" i="8"/>
  <c r="R475" i="8"/>
  <c r="AC474" i="8"/>
  <c r="Z474" i="8"/>
  <c r="R474" i="8"/>
  <c r="Z470" i="8"/>
  <c r="AC469" i="8"/>
  <c r="Z469" i="8"/>
  <c r="R469" i="8"/>
  <c r="AC468" i="8"/>
  <c r="Z468" i="8"/>
  <c r="R468" i="8"/>
  <c r="R466" i="8"/>
  <c r="R465" i="8"/>
  <c r="Z462" i="8"/>
  <c r="U462" i="8"/>
  <c r="AC461" i="8"/>
  <c r="Z461" i="8"/>
  <c r="R461" i="8"/>
  <c r="AC460" i="8"/>
  <c r="Z460" i="8"/>
  <c r="R460" i="8"/>
  <c r="AC457" i="8"/>
  <c r="Z457" i="8"/>
  <c r="R457" i="8"/>
  <c r="AC456" i="8"/>
  <c r="Z456" i="8"/>
  <c r="R456" i="8"/>
  <c r="R455" i="8"/>
  <c r="AC452" i="8"/>
  <c r="Z452" i="8"/>
  <c r="AC451" i="8"/>
  <c r="Z451" i="8"/>
  <c r="R451" i="8"/>
  <c r="AC450" i="8"/>
  <c r="Z450" i="8"/>
  <c r="R450" i="8"/>
  <c r="AC448" i="8"/>
  <c r="Z448" i="8"/>
  <c r="R448" i="8"/>
  <c r="AC447" i="8"/>
  <c r="Z447" i="8"/>
  <c r="R447" i="8"/>
  <c r="AC446" i="8"/>
  <c r="Z446" i="8"/>
  <c r="R446" i="8"/>
  <c r="R431" i="8"/>
  <c r="Z434" i="8"/>
  <c r="AC433" i="8"/>
  <c r="Z433" i="8"/>
  <c r="R433" i="8"/>
  <c r="AC432" i="8"/>
  <c r="Z432" i="8"/>
  <c r="R432" i="8"/>
  <c r="AC430" i="8"/>
  <c r="Z430" i="8"/>
  <c r="R430" i="8"/>
  <c r="AC429" i="8"/>
  <c r="Z429" i="8"/>
  <c r="R429" i="8"/>
  <c r="AC428" i="8"/>
  <c r="Z428" i="8"/>
  <c r="R428" i="8"/>
  <c r="AC427" i="8"/>
  <c r="Z427" i="8"/>
  <c r="R427" i="8"/>
  <c r="AC426" i="8"/>
  <c r="Z426" i="8"/>
  <c r="R426" i="8"/>
  <c r="AC376" i="8"/>
  <c r="Z376" i="8"/>
  <c r="R376" i="8"/>
  <c r="R371" i="8"/>
  <c r="AC371" i="8"/>
  <c r="AC370" i="8"/>
  <c r="AC369" i="8"/>
  <c r="R370" i="8"/>
  <c r="R369" i="8"/>
  <c r="AC372" i="8"/>
  <c r="Z372" i="8"/>
  <c r="R372" i="8"/>
  <c r="AC362" i="8"/>
  <c r="Z362" i="8"/>
  <c r="R362" i="8"/>
  <c r="AD324" i="8"/>
  <c r="AD325" i="8"/>
  <c r="V325" i="8"/>
  <c r="T325" i="8"/>
  <c r="X151" i="8"/>
  <c r="X152" i="8"/>
  <c r="X153" i="8"/>
  <c r="X154" i="8"/>
  <c r="X156" i="8"/>
  <c r="X157" i="8"/>
  <c r="X158" i="8"/>
  <c r="AC24" i="8"/>
  <c r="X161" i="8"/>
  <c r="X162" i="8"/>
  <c r="X163" i="8"/>
  <c r="X164" i="8"/>
  <c r="X165" i="8"/>
  <c r="X166" i="8"/>
  <c r="X167" i="8"/>
  <c r="X170" i="8"/>
  <c r="X171" i="8"/>
  <c r="X172" i="8"/>
  <c r="X173" i="8"/>
  <c r="X174" i="8"/>
  <c r="X175" i="8"/>
  <c r="X213" i="8"/>
  <c r="X214" i="8"/>
  <c r="X215" i="8"/>
  <c r="X216" i="8"/>
  <c r="X217" i="8"/>
  <c r="X218" i="8"/>
  <c r="T222" i="8"/>
  <c r="V222" i="8"/>
  <c r="X222" i="8"/>
  <c r="X224" i="8"/>
  <c r="X225" i="8"/>
  <c r="X226" i="8"/>
  <c r="X228" i="8"/>
  <c r="X229" i="8"/>
  <c r="X232" i="8"/>
  <c r="X233" i="8"/>
  <c r="X234" i="8"/>
  <c r="X235" i="8"/>
  <c r="X202" i="8"/>
  <c r="X204" i="8"/>
  <c r="X206" i="8"/>
  <c r="X208" i="8"/>
  <c r="X209" i="8"/>
  <c r="X210" i="8"/>
  <c r="X192" i="8"/>
  <c r="X193" i="8"/>
  <c r="X194" i="8"/>
  <c r="X195" i="8"/>
  <c r="X196" i="8"/>
  <c r="X197" i="8"/>
  <c r="X178" i="8"/>
  <c r="X179" i="8"/>
  <c r="X180" i="8"/>
  <c r="X181" i="8"/>
  <c r="X182" i="8"/>
  <c r="X183" i="8"/>
  <c r="X184" i="8"/>
  <c r="X185" i="8"/>
  <c r="X186" i="8"/>
  <c r="X187" i="8"/>
  <c r="X188" i="8"/>
  <c r="X189" i="8"/>
  <c r="R213" i="8"/>
  <c r="U69" i="8"/>
  <c r="Z210" i="8"/>
  <c r="AC209" i="8"/>
  <c r="Z209" i="8"/>
  <c r="R209" i="8"/>
  <c r="AC208" i="8"/>
  <c r="Z208" i="8"/>
  <c r="R208" i="8"/>
  <c r="R162" i="8"/>
  <c r="R174" i="8"/>
  <c r="R172" i="8"/>
  <c r="R171" i="8"/>
  <c r="U167" i="8"/>
  <c r="AC43" i="8"/>
  <c r="Z43" i="8"/>
  <c r="R43" i="8"/>
  <c r="AC158" i="8"/>
  <c r="Z158" i="8"/>
  <c r="AC157" i="8"/>
  <c r="Z157" i="8"/>
  <c r="R157" i="8"/>
  <c r="AC156" i="8"/>
  <c r="Z156" i="8"/>
  <c r="R156" i="8"/>
  <c r="AC86" i="8"/>
  <c r="Z86" i="8"/>
  <c r="R86" i="8"/>
  <c r="R24" i="8"/>
  <c r="AC214" i="8"/>
  <c r="Z214" i="8"/>
  <c r="R214" i="8"/>
  <c r="X591" i="8"/>
  <c r="X595" i="8"/>
  <c r="X597" i="8"/>
  <c r="X593" i="8"/>
  <c r="AC643" i="8"/>
  <c r="AC637" i="8"/>
  <c r="AC636" i="8"/>
  <c r="AC635" i="8"/>
  <c r="AC634" i="8"/>
  <c r="AC629" i="8"/>
  <c r="AC628" i="8"/>
  <c r="AC627" i="8"/>
  <c r="AC622" i="8"/>
  <c r="AC621" i="8"/>
  <c r="AC620" i="8"/>
  <c r="AC619" i="8"/>
  <c r="AC618" i="8"/>
  <c r="AC617" i="8"/>
  <c r="AC438" i="8"/>
  <c r="AC437" i="8"/>
  <c r="AC422" i="8"/>
  <c r="AC421" i="8"/>
  <c r="AC418" i="8"/>
  <c r="AC417" i="8"/>
  <c r="AC345" i="8"/>
  <c r="AC344" i="8"/>
  <c r="AC343" i="8"/>
  <c r="AC342" i="8"/>
  <c r="AC324" i="8"/>
  <c r="AC278" i="8"/>
  <c r="AC264" i="8"/>
  <c r="AC263" i="8"/>
  <c r="AC256" i="8"/>
  <c r="AB255" i="8"/>
  <c r="AD255" i="8"/>
  <c r="AC255" i="8"/>
  <c r="AB239" i="8"/>
  <c r="AD239" i="8"/>
  <c r="AC239" i="8"/>
  <c r="AC235" i="8"/>
  <c r="AB234" i="8"/>
  <c r="AD234" i="8"/>
  <c r="AC234" i="8"/>
  <c r="AB233" i="8"/>
  <c r="AD233" i="8"/>
  <c r="AC233" i="8"/>
  <c r="AB232" i="8"/>
  <c r="AD232" i="8"/>
  <c r="AC232" i="8"/>
  <c r="AC228" i="8"/>
  <c r="AC226" i="8"/>
  <c r="AC225" i="8"/>
  <c r="AC224" i="8"/>
  <c r="AB222" i="8"/>
  <c r="AD222" i="8"/>
  <c r="AC222" i="8"/>
  <c r="AC217" i="8"/>
  <c r="AC216" i="8"/>
  <c r="AC215" i="8"/>
  <c r="AC206" i="8"/>
  <c r="AC204" i="8"/>
  <c r="AC202" i="8"/>
  <c r="AC196" i="8"/>
  <c r="AC195" i="8"/>
  <c r="AC194" i="8"/>
  <c r="AC193" i="8"/>
  <c r="AC192" i="8"/>
  <c r="AC188" i="8"/>
  <c r="AC187" i="8"/>
  <c r="AC186" i="8"/>
  <c r="AC185" i="8"/>
  <c r="AC184" i="8"/>
  <c r="AC183" i="8"/>
  <c r="AC182" i="8"/>
  <c r="AC181" i="8"/>
  <c r="AC180" i="8"/>
  <c r="AC179" i="8"/>
  <c r="AC178" i="8"/>
  <c r="AC174" i="8"/>
  <c r="AC173" i="8"/>
  <c r="AC170" i="8"/>
  <c r="AC166" i="8"/>
  <c r="AC165" i="8"/>
  <c r="AC164" i="8"/>
  <c r="AC163" i="8"/>
  <c r="AC161" i="8"/>
  <c r="AC154" i="8"/>
  <c r="AC153" i="8"/>
  <c r="AC152" i="8"/>
  <c r="AC151" i="8"/>
  <c r="AC121" i="8"/>
  <c r="AC120" i="8"/>
  <c r="AC113" i="8"/>
  <c r="AC108" i="8"/>
  <c r="AC107" i="8"/>
  <c r="AC105" i="8"/>
  <c r="AB104" i="8"/>
  <c r="AD104" i="8"/>
  <c r="AC104" i="8"/>
  <c r="AC100" i="8"/>
  <c r="AC99" i="8"/>
  <c r="AC92" i="8"/>
  <c r="AC88" i="8"/>
  <c r="AC73" i="8"/>
  <c r="AC68" i="8"/>
  <c r="AC67" i="8"/>
  <c r="AC65" i="8"/>
  <c r="AC36" i="8"/>
  <c r="AC31" i="8"/>
  <c r="AC29" i="8"/>
  <c r="AC23" i="8"/>
  <c r="AB12" i="8"/>
  <c r="AD12" i="8"/>
  <c r="AC12" i="8"/>
  <c r="C52" i="13"/>
  <c r="C53" i="13"/>
  <c r="C54" i="13"/>
  <c r="C55" i="13"/>
  <c r="C56" i="13"/>
  <c r="C57" i="13"/>
  <c r="C58" i="13"/>
  <c r="C59" i="13"/>
  <c r="C60" i="13"/>
  <c r="F8" i="13"/>
  <c r="G8" i="13"/>
  <c r="H8" i="13"/>
  <c r="C11" i="13"/>
  <c r="P8" i="13"/>
  <c r="Q8" i="13"/>
  <c r="R8" i="13"/>
  <c r="T8" i="13"/>
  <c r="U8" i="13"/>
  <c r="V8" i="13"/>
  <c r="X8" i="13"/>
  <c r="Y8" i="13"/>
  <c r="Z8" i="13"/>
  <c r="AB8" i="13"/>
  <c r="AC8" i="13"/>
  <c r="AD8" i="13"/>
  <c r="AF8" i="13"/>
  <c r="AG8" i="13"/>
  <c r="AH8" i="13"/>
  <c r="FC8" i="13"/>
  <c r="FD8" i="13"/>
  <c r="FE8" i="13"/>
  <c r="FF8" i="13"/>
  <c r="ES8" i="13"/>
  <c r="ET8" i="13"/>
  <c r="EU8" i="13"/>
  <c r="EV8" i="13"/>
  <c r="EF8" i="13"/>
  <c r="EG8" i="13"/>
  <c r="EH8" i="13"/>
  <c r="EI8" i="13"/>
  <c r="DS8" i="13"/>
  <c r="DT8" i="13"/>
  <c r="DU8" i="13"/>
  <c r="DV8" i="13"/>
  <c r="DF8" i="13"/>
  <c r="DG8" i="13"/>
  <c r="DH8" i="13"/>
  <c r="DI8" i="13"/>
  <c r="EX8" i="13"/>
  <c r="EY8" i="13"/>
  <c r="EZ8" i="13"/>
  <c r="EO8" i="13"/>
  <c r="EP8" i="13"/>
  <c r="EQ8" i="13"/>
  <c r="EK8" i="13"/>
  <c r="EL8" i="13"/>
  <c r="EM8" i="13"/>
  <c r="EB8" i="13"/>
  <c r="EC8" i="13"/>
  <c r="ED8" i="13"/>
  <c r="DX8" i="13"/>
  <c r="DY8" i="13"/>
  <c r="DZ8" i="13"/>
  <c r="DO8" i="13"/>
  <c r="DP8" i="13"/>
  <c r="DQ8" i="13"/>
  <c r="DK8" i="13"/>
  <c r="DL8" i="13"/>
  <c r="DM8" i="13"/>
  <c r="CS8" i="13"/>
  <c r="CT8" i="13"/>
  <c r="CU8" i="13"/>
  <c r="CV8" i="13"/>
  <c r="DB8" i="13"/>
  <c r="DC8" i="13"/>
  <c r="DD8" i="13"/>
  <c r="CX8" i="13"/>
  <c r="CY8" i="13"/>
  <c r="CZ8" i="13"/>
  <c r="CO8" i="13"/>
  <c r="CP8" i="13"/>
  <c r="CQ8" i="13"/>
  <c r="CF8" i="13"/>
  <c r="CG8" i="13"/>
  <c r="CH8" i="13"/>
  <c r="CI8" i="13"/>
  <c r="BW8" i="13"/>
  <c r="BX8" i="13"/>
  <c r="BY8" i="13"/>
  <c r="BZ8" i="13"/>
  <c r="BF8" i="13"/>
  <c r="BG8" i="13"/>
  <c r="BH8" i="13"/>
  <c r="BI8" i="13"/>
  <c r="CK8" i="13"/>
  <c r="CL8" i="13"/>
  <c r="CM8" i="13"/>
  <c r="CB8" i="13"/>
  <c r="CC8" i="13"/>
  <c r="CD8" i="13"/>
  <c r="BS8" i="13"/>
  <c r="BT8" i="13"/>
  <c r="BU8" i="13"/>
  <c r="BO8" i="13"/>
  <c r="BP8" i="13"/>
  <c r="BQ8" i="13"/>
  <c r="BK8" i="13"/>
  <c r="BL8" i="13"/>
  <c r="BM8" i="13"/>
  <c r="BB8" i="13"/>
  <c r="BC8" i="13"/>
  <c r="BD8" i="13"/>
  <c r="AX8" i="13"/>
  <c r="AY8" i="13"/>
  <c r="AZ8" i="13"/>
  <c r="Z646" i="8"/>
  <c r="Z643" i="8"/>
  <c r="R643" i="8"/>
  <c r="Z638" i="8"/>
  <c r="Z637" i="8"/>
  <c r="X637" i="8"/>
  <c r="R637" i="8"/>
  <c r="Z636" i="8"/>
  <c r="X636" i="8"/>
  <c r="R636" i="8"/>
  <c r="Z635" i="8"/>
  <c r="X635" i="8"/>
  <c r="R635" i="8"/>
  <c r="Z634" i="8"/>
  <c r="X634" i="8"/>
  <c r="R634" i="8"/>
  <c r="Z623" i="8"/>
  <c r="Z627" i="8"/>
  <c r="Z628" i="8"/>
  <c r="Z629" i="8"/>
  <c r="Z630" i="8"/>
  <c r="Z631" i="8"/>
  <c r="R629" i="8"/>
  <c r="R628" i="8"/>
  <c r="R627" i="8"/>
  <c r="Z622" i="8"/>
  <c r="X622" i="8"/>
  <c r="R622" i="8"/>
  <c r="Z621" i="8"/>
  <c r="R621" i="8"/>
  <c r="Z620" i="8"/>
  <c r="R620" i="8"/>
  <c r="Z619" i="8"/>
  <c r="R619" i="8"/>
  <c r="Z618" i="8"/>
  <c r="R618" i="8"/>
  <c r="Z617" i="8"/>
  <c r="R617" i="8"/>
  <c r="Z189" i="8"/>
  <c r="Z192" i="8"/>
  <c r="Z193" i="8"/>
  <c r="Z194" i="8"/>
  <c r="Z195" i="8"/>
  <c r="Z196" i="8"/>
  <c r="Z197" i="8"/>
  <c r="Z198" i="8"/>
  <c r="Z177" i="8"/>
  <c r="Z178" i="8"/>
  <c r="Z179" i="8"/>
  <c r="Z180" i="8"/>
  <c r="Z181" i="8"/>
  <c r="Z182" i="8"/>
  <c r="Z183" i="8"/>
  <c r="Z184" i="8"/>
  <c r="Z185" i="8"/>
  <c r="Z186" i="8"/>
  <c r="Z187" i="8"/>
  <c r="Z188" i="8"/>
  <c r="X324" i="8"/>
  <c r="X325" i="8"/>
  <c r="Z302" i="8"/>
  <c r="Z257" i="8"/>
  <c r="Z206" i="8"/>
  <c r="R206" i="8"/>
  <c r="Z417" i="8"/>
  <c r="X417" i="8"/>
  <c r="R417" i="8"/>
  <c r="Z416" i="8"/>
  <c r="X416" i="8"/>
  <c r="R416" i="8"/>
  <c r="R165" i="8"/>
  <c r="Z163" i="8"/>
  <c r="R163" i="8"/>
  <c r="Z161" i="8"/>
  <c r="R161" i="8"/>
  <c r="Z167" i="8"/>
  <c r="Z166" i="8"/>
  <c r="R166" i="8"/>
  <c r="Z165" i="8"/>
  <c r="Z164" i="8"/>
  <c r="R164" i="8"/>
  <c r="Z154" i="8"/>
  <c r="R154" i="8"/>
  <c r="Z153" i="8"/>
  <c r="R153" i="8"/>
  <c r="Z152" i="8"/>
  <c r="R152" i="8"/>
  <c r="Z151" i="8"/>
  <c r="R151" i="8"/>
  <c r="Z345" i="8"/>
  <c r="R345" i="8"/>
  <c r="Z344" i="8"/>
  <c r="R344" i="8"/>
  <c r="Z343" i="8"/>
  <c r="R343" i="8"/>
  <c r="Z342" i="8"/>
  <c r="R342" i="8"/>
  <c r="Z235" i="8"/>
  <c r="Z234" i="8"/>
  <c r="R234" i="8"/>
  <c r="Z233" i="8"/>
  <c r="R233" i="8"/>
  <c r="Z232" i="8"/>
  <c r="R232" i="8"/>
  <c r="Z222" i="8"/>
  <c r="R222" i="8"/>
  <c r="Z204" i="8"/>
  <c r="R204" i="8"/>
  <c r="R178" i="8"/>
  <c r="R179" i="8"/>
  <c r="R196" i="8"/>
  <c r="R195" i="8"/>
  <c r="R194" i="8"/>
  <c r="R193" i="8"/>
  <c r="R192" i="8"/>
  <c r="R188" i="8"/>
  <c r="R187" i="8"/>
  <c r="R186" i="8"/>
  <c r="R185" i="8"/>
  <c r="R184" i="8"/>
  <c r="R183" i="8"/>
  <c r="R182" i="8"/>
  <c r="R181" i="8"/>
  <c r="R180" i="8"/>
  <c r="R202" i="8"/>
  <c r="Z202" i="8"/>
  <c r="R215" i="8"/>
  <c r="Z215" i="8"/>
  <c r="R216" i="8"/>
  <c r="Z216" i="8"/>
  <c r="Z113" i="8"/>
  <c r="R113" i="8"/>
  <c r="Z104" i="8"/>
  <c r="R104" i="8"/>
  <c r="R173" i="8"/>
  <c r="Z325" i="8"/>
  <c r="Z324" i="8"/>
  <c r="R324" i="8"/>
  <c r="Z279" i="8"/>
  <c r="Z278" i="8"/>
  <c r="R278" i="8"/>
  <c r="Z264" i="8"/>
  <c r="R264" i="8"/>
  <c r="Z263" i="8"/>
  <c r="R263" i="8"/>
  <c r="Z256" i="8"/>
  <c r="Z255" i="8"/>
  <c r="R255" i="8"/>
  <c r="Z239" i="8"/>
  <c r="R239" i="8"/>
  <c r="Z218" i="8"/>
  <c r="Z217" i="8"/>
  <c r="R217" i="8"/>
  <c r="Z226" i="8"/>
  <c r="R226" i="8"/>
  <c r="Z229" i="8"/>
  <c r="Z228" i="8"/>
  <c r="R228" i="8"/>
  <c r="Z225" i="8"/>
  <c r="R225" i="8"/>
  <c r="Z224" i="8"/>
  <c r="R224" i="8"/>
  <c r="Z173" i="8"/>
  <c r="Z170" i="8"/>
  <c r="R170" i="8"/>
  <c r="Z175" i="8"/>
  <c r="Z174" i="8"/>
  <c r="Z122" i="8"/>
  <c r="Z121" i="8"/>
  <c r="R121" i="8"/>
  <c r="Z120" i="8"/>
  <c r="R120" i="8"/>
  <c r="Z109" i="8"/>
  <c r="Z108" i="8"/>
  <c r="R108" i="8"/>
  <c r="Z107" i="8"/>
  <c r="R107" i="8"/>
  <c r="Z105" i="8"/>
  <c r="R105" i="8"/>
  <c r="Z101" i="8"/>
  <c r="Z100" i="8"/>
  <c r="R100" i="8"/>
  <c r="Z99" i="8"/>
  <c r="R99" i="8"/>
  <c r="Z92" i="8"/>
  <c r="R92" i="8"/>
  <c r="Z89" i="8"/>
  <c r="Z88" i="8"/>
  <c r="Z73" i="8"/>
  <c r="R73" i="8"/>
  <c r="Z69" i="8"/>
  <c r="Z68" i="8"/>
  <c r="R68" i="8"/>
  <c r="Z67" i="8"/>
  <c r="R67" i="8"/>
  <c r="Z65" i="8"/>
  <c r="R65" i="8"/>
  <c r="Z45" i="8"/>
  <c r="Z44" i="8"/>
  <c r="R44" i="8"/>
  <c r="Z36" i="8"/>
  <c r="R36" i="8"/>
  <c r="S51" i="12"/>
  <c r="W51" i="12"/>
  <c r="AS8" i="13"/>
  <c r="AT8" i="13"/>
  <c r="AU8" i="13"/>
  <c r="AV8" i="13"/>
  <c r="AO8" i="13"/>
  <c r="AP8" i="13"/>
  <c r="AQ8" i="13"/>
  <c r="AJ8" i="13"/>
  <c r="AK8" i="13"/>
  <c r="AL8" i="13"/>
  <c r="AM8" i="13"/>
  <c r="K8" i="13"/>
  <c r="L8" i="13"/>
  <c r="M8" i="13"/>
  <c r="J32" i="12"/>
  <c r="J28" i="12"/>
  <c r="S29" i="12"/>
  <c r="W29" i="12"/>
  <c r="J51" i="12"/>
  <c r="W21" i="12"/>
  <c r="Y21" i="12"/>
  <c r="S24" i="12"/>
  <c r="W24" i="12"/>
  <c r="S25" i="12"/>
  <c r="W25" i="12"/>
  <c r="S26" i="12"/>
  <c r="W26" i="12"/>
  <c r="S27" i="12"/>
  <c r="W27" i="12"/>
  <c r="S28" i="12"/>
  <c r="W28" i="12"/>
  <c r="S31" i="12"/>
  <c r="W31" i="12"/>
  <c r="S32" i="12"/>
  <c r="W32" i="12"/>
  <c r="S33" i="12"/>
  <c r="W33" i="12"/>
  <c r="S37" i="12"/>
  <c r="W37" i="12"/>
  <c r="AC37" i="12"/>
  <c r="S38" i="12"/>
  <c r="W38" i="12"/>
  <c r="S49" i="12"/>
  <c r="W49" i="12"/>
  <c r="S50" i="12"/>
  <c r="W50" i="12"/>
  <c r="S89" i="12"/>
  <c r="W89" i="12"/>
  <c r="S85" i="12"/>
  <c r="W85" i="12"/>
  <c r="Y87" i="12"/>
  <c r="S86" i="12"/>
  <c r="W86" i="12"/>
  <c r="S81" i="12"/>
  <c r="W81" i="12"/>
  <c r="AC81" i="12"/>
  <c r="AC38" i="12"/>
  <c r="AC20" i="12"/>
  <c r="AC21" i="12"/>
  <c r="AC49" i="12"/>
  <c r="AC50" i="12"/>
  <c r="AA38" i="12"/>
  <c r="AA24" i="12"/>
  <c r="AA25" i="12"/>
  <c r="AA26" i="12"/>
  <c r="AA27" i="12"/>
  <c r="AA31" i="12"/>
  <c r="AA32" i="12"/>
  <c r="AA33" i="12"/>
  <c r="S20" i="12"/>
  <c r="AA20" i="12"/>
  <c r="AA21" i="12"/>
  <c r="AA49" i="12"/>
  <c r="AA50" i="12"/>
  <c r="Y90" i="12"/>
  <c r="Y39" i="12"/>
  <c r="S87" i="12"/>
  <c r="Q90" i="12"/>
  <c r="Q87" i="12"/>
  <c r="Q39" i="12"/>
  <c r="Q34" i="12"/>
  <c r="N90" i="12"/>
  <c r="N87" i="12"/>
  <c r="N39" i="12"/>
  <c r="N34" i="12"/>
  <c r="N21" i="12"/>
  <c r="J20" i="12"/>
  <c r="J21" i="12"/>
  <c r="J31" i="12"/>
  <c r="J33" i="12"/>
  <c r="J49" i="12"/>
  <c r="J50" i="12"/>
  <c r="AA86" i="12"/>
  <c r="AE89" i="12"/>
  <c r="AE86" i="12"/>
  <c r="AE85" i="12"/>
  <c r="AE49" i="12"/>
  <c r="AE41" i="12"/>
  <c r="AE39" i="12"/>
  <c r="AE38" i="12"/>
  <c r="AE21" i="12"/>
  <c r="AE20" i="12"/>
  <c r="Q10" i="12"/>
  <c r="Q9" i="12"/>
  <c r="R438" i="8"/>
  <c r="R421" i="8"/>
  <c r="R437" i="8"/>
  <c r="R422" i="8"/>
  <c r="R418" i="8"/>
  <c r="R26" i="8"/>
  <c r="R29" i="8"/>
  <c r="R31" i="8"/>
  <c r="R23" i="8"/>
  <c r="X12" i="8"/>
  <c r="X13" i="8"/>
  <c r="AA89" i="12"/>
  <c r="Q41" i="12"/>
  <c r="S90" i="12"/>
  <c r="AA28" i="12"/>
  <c r="AE37" i="12"/>
  <c r="AE81" i="12"/>
  <c r="AE83" i="12"/>
  <c r="AA85" i="12"/>
  <c r="N41" i="12"/>
  <c r="N43" i="12"/>
  <c r="N83" i="12"/>
  <c r="N100" i="12"/>
  <c r="S34" i="12"/>
  <c r="W90" i="12"/>
  <c r="AA90" i="12"/>
  <c r="AC33" i="12"/>
  <c r="AE33" i="12"/>
  <c r="AC31" i="12"/>
  <c r="AE31" i="12"/>
  <c r="AC32" i="12"/>
  <c r="AE32" i="12"/>
  <c r="AC28" i="12"/>
  <c r="AE28" i="12"/>
  <c r="AC27" i="12"/>
  <c r="AE27" i="12"/>
  <c r="AE26" i="12"/>
  <c r="AC26" i="12"/>
  <c r="AE24" i="12"/>
  <c r="Y34" i="12"/>
  <c r="Y41" i="12"/>
  <c r="Y43" i="12"/>
  <c r="AC24" i="12"/>
  <c r="AC25" i="12"/>
  <c r="AE25" i="12"/>
  <c r="AE34" i="12"/>
  <c r="N92" i="12"/>
  <c r="S39" i="12"/>
  <c r="S41" i="12"/>
  <c r="S21" i="12"/>
  <c r="S43" i="12"/>
  <c r="W39" i="12"/>
  <c r="AA87" i="12"/>
  <c r="AA37" i="12"/>
  <c r="AA39" i="12"/>
  <c r="AC39" i="12"/>
  <c r="AE50" i="12"/>
  <c r="Y81" i="12"/>
  <c r="Q20" i="12"/>
  <c r="Q21" i="12"/>
  <c r="Q43" i="12"/>
  <c r="Q83" i="12"/>
  <c r="Q100" i="12"/>
  <c r="AA29" i="12"/>
  <c r="AA34" i="12"/>
  <c r="AA81" i="12"/>
  <c r="Q92" i="12"/>
  <c r="W87" i="12"/>
  <c r="W34" i="12"/>
  <c r="AE29" i="12"/>
  <c r="AC29" i="12"/>
  <c r="J26" i="12"/>
  <c r="J27" i="12"/>
  <c r="S92" i="12"/>
  <c r="AE79" i="12"/>
  <c r="AC34" i="12"/>
  <c r="AC41" i="12"/>
  <c r="Y83" i="12"/>
  <c r="Y100" i="12"/>
  <c r="AA41" i="12"/>
  <c r="S83" i="12"/>
  <c r="S100" i="12"/>
  <c r="W41" i="12"/>
  <c r="W43" i="12"/>
  <c r="W92" i="12"/>
  <c r="AE92" i="12"/>
  <c r="J29" i="12"/>
  <c r="J38" i="12"/>
  <c r="Y92" i="12"/>
  <c r="W83" i="12"/>
  <c r="AA92" i="12"/>
  <c r="AA100" i="12"/>
  <c r="J25" i="12"/>
  <c r="J37" i="12"/>
  <c r="W100" i="12"/>
  <c r="AE100" i="12"/>
  <c r="J24" i="12"/>
  <c r="J34" i="12"/>
  <c r="J79" i="12"/>
  <c r="D83" i="12"/>
  <c r="J39" i="12"/>
  <c r="J41" i="12"/>
  <c r="J43" i="12"/>
  <c r="J81" i="12"/>
  <c r="AE43" i="12"/>
  <c r="X576" i="8"/>
  <c r="H83" i="12"/>
  <c r="X578" i="8"/>
  <c r="J83" i="12"/>
  <c r="X577" i="8"/>
  <c r="J86" i="12"/>
  <c r="J85" i="12"/>
  <c r="X580" i="8"/>
  <c r="AE87" i="12"/>
  <c r="X582" i="8"/>
  <c r="X581" i="8"/>
  <c r="J87" i="12"/>
  <c r="AE90" i="12"/>
  <c r="X584" i="8"/>
  <c r="J89" i="12"/>
  <c r="AC90" i="12"/>
  <c r="AC92" i="12"/>
  <c r="AC100" i="12"/>
  <c r="X585" i="8"/>
  <c r="J90" i="12"/>
  <c r="J92" i="12"/>
  <c r="X587" i="8"/>
  <c r="Z12" i="8"/>
  <c r="Z421" i="8"/>
  <c r="Z31" i="8"/>
  <c r="Z13" i="8"/>
  <c r="Z29" i="8"/>
  <c r="Z422" i="8"/>
  <c r="Z23" i="8"/>
  <c r="Z438" i="8"/>
  <c r="Z418" i="8"/>
  <c r="Z437" i="8"/>
  <c r="Z32" i="8"/>
  <c r="Z439" i="8"/>
  <c r="Z423" i="8"/>
  <c r="Z441" i="8"/>
  <c r="Z568" i="8"/>
  <c r="Z576" i="8"/>
  <c r="Z578" i="8"/>
  <c r="Z577" i="8"/>
  <c r="Z580" i="8"/>
  <c r="Z582" i="8"/>
  <c r="Z581" i="8"/>
  <c r="Z584" i="8"/>
  <c r="Z585" i="8"/>
  <c r="Z587" i="8"/>
  <c r="AC576" i="8"/>
  <c r="AC580" i="8"/>
  <c r="AC581" i="8"/>
  <c r="AC584" i="8"/>
  <c r="AC568" i="8"/>
  <c r="AC577" i="8"/>
  <c r="AC587" i="8"/>
  <c r="AF597" i="8"/>
  <c r="AF601" i="8"/>
  <c r="AF606" i="8"/>
  <c r="AF608" i="8"/>
</calcChain>
</file>

<file path=xl/comments1.xml><?xml version="1.0" encoding="utf-8"?>
<comments xmlns="http://schemas.openxmlformats.org/spreadsheetml/2006/main">
  <authors>
    <author>Author</author>
  </authors>
  <commentList>
    <comment ref="V4" authorId="0">
      <text>
        <r>
          <rPr>
            <sz val="9"/>
            <color indexed="81"/>
            <rFont val="Tahoma"/>
            <family val="2"/>
          </rPr>
          <t>Estimated using total population for the 3 regions (average of 5 people per HH)</t>
        </r>
      </text>
    </comment>
    <comment ref="J28" authorId="0">
      <text>
        <r>
          <rPr>
            <sz val="9"/>
            <color indexed="81"/>
            <rFont val="Calibri"/>
            <family val="2"/>
          </rPr>
          <t>half an hour</t>
        </r>
      </text>
    </comment>
    <comment ref="F44" authorId="0">
      <text>
        <r>
          <rPr>
            <sz val="9"/>
            <color indexed="81"/>
            <rFont val="Tahoma"/>
            <family val="2"/>
          </rPr>
          <t>Greater Accra and UW- Northern is ERD cost share</t>
        </r>
      </text>
    </comment>
    <comment ref="F68" authorId="0">
      <text>
        <r>
          <rPr>
            <sz val="9"/>
            <color indexed="81"/>
            <rFont val="Tahoma"/>
            <family val="2"/>
          </rPr>
          <t>Northern is already done- ascribed to ERD cost share</t>
        </r>
      </text>
    </comment>
    <comment ref="F186" authorId="0">
      <text>
        <r>
          <rPr>
            <sz val="9"/>
            <color indexed="81"/>
            <rFont val="Tahoma"/>
            <family val="2"/>
          </rPr>
          <t>One for each community?</t>
        </r>
      </text>
    </comment>
    <comment ref="F192" authorId="0">
      <text>
        <r>
          <rPr>
            <sz val="9"/>
            <color indexed="81"/>
            <rFont val="Tahoma"/>
            <family val="2"/>
          </rPr>
          <t>5% of estimated HH numbers</t>
        </r>
      </text>
    </comment>
    <comment ref="F193" authorId="0">
      <text>
        <r>
          <rPr>
            <sz val="9"/>
            <color indexed="81"/>
            <rFont val="Tahoma"/>
            <family val="2"/>
          </rPr>
          <t>Estimated no. of commuunites</t>
        </r>
      </text>
    </comment>
    <comment ref="F196" authorId="0">
      <text>
        <r>
          <rPr>
            <sz val="9"/>
            <color indexed="81"/>
            <rFont val="Tahoma"/>
            <family val="2"/>
          </rPr>
          <t>For supervisors and Project staff</t>
        </r>
      </text>
    </comment>
    <comment ref="J217" authorId="0">
      <text>
        <r>
          <rPr>
            <sz val="9"/>
            <color indexed="81"/>
            <rFont val="Tahoma"/>
            <family val="2"/>
          </rPr>
          <t>M&amp;E Manager trip to Tamale and Wa</t>
        </r>
      </text>
    </comment>
    <comment ref="J376" authorId="0">
      <text>
        <r>
          <rPr>
            <sz val="9"/>
            <color indexed="81"/>
            <rFont val="Calibri"/>
            <family val="2"/>
          </rPr>
          <t>one week of supervision per month for 3 years</t>
        </r>
      </text>
    </comment>
    <comment ref="J378" authorId="0">
      <text>
        <r>
          <rPr>
            <sz val="9"/>
            <color indexed="81"/>
            <rFont val="Calibri"/>
            <family val="2"/>
          </rPr>
          <t>This is 8 days a month for 12 months over 2.5 year period</t>
        </r>
      </text>
    </comment>
    <comment ref="J379" authorId="0">
      <text>
        <r>
          <rPr>
            <sz val="9"/>
            <color indexed="81"/>
            <rFont val="Calibri"/>
            <family val="2"/>
          </rPr>
          <t>This is 8 days a month for 12 months over 2.5 year period</t>
        </r>
      </text>
    </comment>
    <comment ref="J380" authorId="0">
      <text>
        <r>
          <rPr>
            <sz val="9"/>
            <color indexed="81"/>
            <rFont val="Calibri"/>
            <family val="2"/>
          </rPr>
          <t>This is 8 days a month for 12 months over 2.5 year period</t>
        </r>
      </text>
    </comment>
    <comment ref="AA416" authorId="0">
      <text>
        <r>
          <rPr>
            <sz val="9"/>
            <color indexed="81"/>
            <rFont val="Calibri"/>
            <family val="2"/>
          </rPr>
          <t>AMF @ 17% as 6 and 12 month data cost of 100% PDCU</t>
        </r>
      </text>
    </comment>
    <comment ref="F432" authorId="0">
      <text>
        <r>
          <rPr>
            <sz val="9"/>
            <color indexed="81"/>
            <rFont val="Tahoma"/>
            <family val="2"/>
          </rPr>
          <t>One for each community?</t>
        </r>
      </text>
    </comment>
    <comment ref="F482" authorId="0">
      <text>
        <r>
          <rPr>
            <sz val="9"/>
            <color indexed="81"/>
            <rFont val="Tahoma"/>
            <family val="2"/>
          </rPr>
          <t>5% of estimated HH numbers</t>
        </r>
      </text>
    </comment>
    <comment ref="F483" authorId="0">
      <text>
        <r>
          <rPr>
            <sz val="9"/>
            <color indexed="81"/>
            <rFont val="Tahoma"/>
            <family val="2"/>
          </rPr>
          <t>Estimated no. of commuunites</t>
        </r>
      </text>
    </comment>
    <comment ref="J517" authorId="0">
      <text>
        <r>
          <rPr>
            <sz val="9"/>
            <color indexed="81"/>
            <rFont val="Tahoma"/>
            <family val="2"/>
          </rPr>
          <t>M&amp;E Manager trip to Tamale and Wa</t>
        </r>
      </text>
    </comment>
    <comment ref="B538" authorId="0">
      <text>
        <r>
          <rPr>
            <sz val="9"/>
            <color indexed="81"/>
            <rFont val="Tahoma"/>
            <family val="2"/>
          </rPr>
          <t>To be contracted out to another organization?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M10" authorId="0">
      <text>
        <r>
          <rPr>
            <sz val="9"/>
            <color indexed="81"/>
            <rFont val="Tahoma"/>
            <family val="2"/>
          </rPr>
          <t xml:space="preserve">To be sent by Feb 26th </t>
        </r>
      </text>
    </comment>
    <comment ref="R19" authorId="0">
      <text>
        <r>
          <rPr>
            <sz val="9"/>
            <color indexed="81"/>
            <rFont val="Tahoma"/>
            <family val="2"/>
          </rPr>
          <t>Same for Greater Accra</t>
        </r>
      </text>
    </comment>
    <comment ref="V19" authorId="0">
      <text>
        <r>
          <rPr>
            <sz val="9"/>
            <color indexed="81"/>
            <rFont val="Tahoma"/>
            <family val="2"/>
          </rPr>
          <t>Same for Greater Accra</t>
        </r>
      </text>
    </comment>
    <comment ref="N21" authorId="0">
      <text>
        <r>
          <rPr>
            <sz val="9"/>
            <color indexed="81"/>
            <rFont val="Tahoma"/>
            <family val="2"/>
          </rPr>
          <t>1st to 4th March</t>
        </r>
      </text>
    </comment>
    <comment ref="N22" authorId="0">
      <text>
        <r>
          <rPr>
            <sz val="9"/>
            <color indexed="81"/>
            <rFont val="Tahoma"/>
            <family val="2"/>
          </rPr>
          <t>2nd to 4th March</t>
        </r>
      </text>
    </comment>
    <comment ref="J23" authorId="0">
      <text>
        <r>
          <rPr>
            <sz val="9"/>
            <color indexed="81"/>
            <rFont val="Tahoma"/>
            <family val="2"/>
          </rPr>
          <t>Greater Accra region starts on the first week of Feb through to the end of May</t>
        </r>
      </text>
    </comment>
    <comment ref="W23" authorId="0">
      <text>
        <r>
          <rPr>
            <sz val="9"/>
            <color indexed="81"/>
            <rFont val="Tahoma"/>
            <family val="2"/>
          </rPr>
          <t>Upper West starts from the first week of May</t>
        </r>
      </text>
    </comment>
    <comment ref="M24" authorId="0">
      <text>
        <r>
          <rPr>
            <sz val="9"/>
            <color indexed="81"/>
            <rFont val="Tahoma"/>
            <family val="2"/>
          </rPr>
          <t>Greater Accra region starts in the third week of February</t>
        </r>
      </text>
    </comment>
    <comment ref="D26" authorId="0">
      <text>
        <r>
          <rPr>
            <sz val="9"/>
            <color indexed="81"/>
            <rFont val="Tahoma"/>
            <family val="2"/>
          </rPr>
          <t>Dates TBD</t>
        </r>
      </text>
    </comment>
    <comment ref="DA49" authorId="0">
      <text>
        <r>
          <rPr>
            <sz val="9"/>
            <color indexed="81"/>
            <rFont val="Tahoma"/>
            <family val="2"/>
          </rPr>
          <t>Quarterly visits begin in Northern region</t>
        </r>
      </text>
    </comment>
    <comment ref="DG49" authorId="0">
      <text>
        <r>
          <rPr>
            <sz val="9"/>
            <color indexed="81"/>
            <rFont val="Tahoma"/>
            <family val="2"/>
          </rPr>
          <t>Quarterly visits begin in Greater Accra region</t>
        </r>
      </text>
    </comment>
    <comment ref="DM49" authorId="0">
      <text>
        <r>
          <rPr>
            <sz val="9"/>
            <color indexed="81"/>
            <rFont val="Tahoma"/>
            <family val="2"/>
          </rPr>
          <t>Quarterly visits begin in Upper West region</t>
        </r>
      </text>
    </comment>
    <comment ref="BU51" authorId="0">
      <text>
        <r>
          <rPr>
            <sz val="9"/>
            <color indexed="81"/>
            <rFont val="Tahoma"/>
            <family val="2"/>
          </rPr>
          <t>April 25th</t>
        </r>
      </text>
    </comment>
    <comment ref="DU51" authorId="0">
      <text>
        <r>
          <rPr>
            <sz val="9"/>
            <color indexed="81"/>
            <rFont val="Tahoma"/>
            <family val="2"/>
          </rPr>
          <t>April 25th</t>
        </r>
      </text>
    </comment>
    <comment ref="AQ53" authorId="0">
      <text>
        <r>
          <rPr>
            <sz val="9"/>
            <color indexed="81"/>
            <rFont val="Tahoma"/>
            <family val="2"/>
          </rPr>
          <t>Right after the orientation</t>
        </r>
      </text>
    </comment>
    <comment ref="BQ53" authorId="0">
      <text>
        <r>
          <rPr>
            <sz val="9"/>
            <color indexed="81"/>
            <rFont val="Tahoma"/>
            <family val="2"/>
          </rPr>
          <t>Right after the orientation</t>
        </r>
      </text>
    </comment>
    <comment ref="CQ53" authorId="0">
      <text>
        <r>
          <rPr>
            <sz val="9"/>
            <color indexed="81"/>
            <rFont val="Tahoma"/>
            <family val="2"/>
          </rPr>
          <t>Right after the orientation</t>
        </r>
      </text>
    </comment>
    <comment ref="DQ53" authorId="0">
      <text>
        <r>
          <rPr>
            <sz val="9"/>
            <color indexed="81"/>
            <rFont val="Tahoma"/>
            <family val="2"/>
          </rPr>
          <t>Right after the orientation</t>
        </r>
      </text>
    </comment>
    <comment ref="EQ53" authorId="0">
      <text>
        <r>
          <rPr>
            <sz val="9"/>
            <color indexed="81"/>
            <rFont val="Tahoma"/>
            <family val="2"/>
          </rPr>
          <t>Right after the orientation</t>
        </r>
      </text>
    </comment>
    <comment ref="AS55" authorId="0">
      <text>
        <r>
          <rPr>
            <sz val="9"/>
            <color indexed="81"/>
            <rFont val="Tahoma"/>
            <family val="2"/>
          </rPr>
          <t>To follow right after orientation</t>
        </r>
      </text>
    </comment>
    <comment ref="BS55" authorId="0">
      <text>
        <r>
          <rPr>
            <sz val="9"/>
            <color indexed="81"/>
            <rFont val="Tahoma"/>
            <family val="2"/>
          </rPr>
          <t>To follow right after orientation</t>
        </r>
      </text>
    </comment>
    <comment ref="CS55" authorId="0">
      <text>
        <r>
          <rPr>
            <sz val="9"/>
            <color indexed="81"/>
            <rFont val="Tahoma"/>
            <family val="2"/>
          </rPr>
          <t>To follow right after orientation</t>
        </r>
      </text>
    </comment>
    <comment ref="DS55" authorId="0">
      <text>
        <r>
          <rPr>
            <sz val="9"/>
            <color indexed="81"/>
            <rFont val="Tahoma"/>
            <family val="2"/>
          </rPr>
          <t>To follow right after orientation</t>
        </r>
      </text>
    </comment>
    <comment ref="ES55" authorId="0">
      <text>
        <r>
          <rPr>
            <sz val="9"/>
            <color indexed="81"/>
            <rFont val="Tahoma"/>
            <family val="2"/>
          </rPr>
          <t>To follow right after orientation</t>
        </r>
      </text>
    </comment>
  </commentList>
</comments>
</file>

<file path=xl/sharedStrings.xml><?xml version="1.0" encoding="utf-8"?>
<sst xmlns="http://schemas.openxmlformats.org/spreadsheetml/2006/main" count="1942" uniqueCount="576">
  <si>
    <t>Budget</t>
  </si>
  <si>
    <t>Actual</t>
  </si>
  <si>
    <t>All Shipping costs and clearing charges</t>
  </si>
  <si>
    <t>(USD)</t>
  </si>
  <si>
    <t>vs Budget</t>
  </si>
  <si>
    <t>per net</t>
  </si>
  <si>
    <t>(1)</t>
  </si>
  <si>
    <t>(2)</t>
  </si>
  <si>
    <t>(3)</t>
  </si>
  <si>
    <t>(4)</t>
  </si>
  <si>
    <t>(5)</t>
  </si>
  <si>
    <t>(6)</t>
  </si>
  <si>
    <t>(7)</t>
  </si>
  <si>
    <t>(8)</t>
  </si>
  <si>
    <t>AGREED BUDGET</t>
  </si>
  <si>
    <t>(9)</t>
  </si>
  <si>
    <t>Refreshments</t>
  </si>
  <si>
    <t>Fuel</t>
  </si>
  <si>
    <t>Ink pads</t>
  </si>
  <si>
    <t>Toner</t>
  </si>
  <si>
    <t>Ink</t>
  </si>
  <si>
    <t>X-Rate</t>
  </si>
  <si>
    <t>Applied</t>
  </si>
  <si>
    <t>(10)</t>
  </si>
  <si>
    <t>Eventual increase</t>
  </si>
  <si>
    <t>(USD), %</t>
  </si>
  <si>
    <t>Date</t>
  </si>
  <si>
    <t>Final</t>
  </si>
  <si>
    <t>Estimated Pre-D costs finalising date</t>
  </si>
  <si>
    <t>Budgeted LLINs</t>
  </si>
  <si>
    <t>Actual  LLINs</t>
  </si>
  <si>
    <t>% increase</t>
  </si>
  <si>
    <t>(11)</t>
  </si>
  <si>
    <t>(12)</t>
  </si>
  <si>
    <t>(13)</t>
  </si>
  <si>
    <t>(14)</t>
  </si>
  <si>
    <t>(15)</t>
  </si>
  <si>
    <t>Budget item</t>
  </si>
  <si>
    <t>Cost driver 1</t>
  </si>
  <si>
    <t>Number</t>
  </si>
  <si>
    <t>Cost driver 2</t>
  </si>
  <si>
    <t>Cost driver 3</t>
  </si>
  <si>
    <t>Total Cost (US$)</t>
  </si>
  <si>
    <t>Notes</t>
  </si>
  <si>
    <t>Guidance</t>
  </si>
  <si>
    <r>
      <t xml:space="preserve">1. Section 1 is for costs for </t>
    </r>
    <r>
      <rPr>
        <b/>
        <u/>
        <sz val="11"/>
        <rFont val="Calibri"/>
        <family val="2"/>
      </rPr>
      <t>one PDCU</t>
    </r>
    <r>
      <rPr>
        <b/>
        <sz val="11"/>
        <rFont val="Calibri"/>
        <family val="2"/>
      </rPr>
      <t xml:space="preserve"> including all direct 'daily' management of the PDCU</t>
    </r>
  </si>
  <si>
    <t>4. Please change and add cost items as necessary in this column (B)</t>
  </si>
  <si>
    <t>5. Please ensure cost drivers are entered for each cost line item</t>
  </si>
  <si>
    <t xml:space="preserve"> - For example, stationary cost for the 'Briefing' activity should be entered under 'Briefing'</t>
  </si>
  <si>
    <t>(change/add individual cost lines as necessary with appropriate cost drivers)</t>
  </si>
  <si>
    <t># people</t>
  </si>
  <si>
    <t># days</t>
  </si>
  <si>
    <t>X DCs @ Y cost x Z days each</t>
  </si>
  <si>
    <t>X People x Y days x Z cost per person</t>
  </si>
  <si>
    <t># litres of fuel</t>
  </si>
  <si>
    <t>Average fueling for for X vehicles (=people) @ (Y litres x Z/litres diesel) x W days</t>
  </si>
  <si>
    <t>2. Data Collection</t>
  </si>
  <si>
    <t>i) Personnel</t>
  </si>
  <si>
    <t>Drivers (Dr)</t>
  </si>
  <si>
    <t>Personnel Sub Total</t>
  </si>
  <si>
    <t># items</t>
  </si>
  <si>
    <t># items x Y cost per item (based on number of HZ, HA etc)</t>
  </si>
  <si>
    <t>Stationary Sub Total</t>
  </si>
  <si>
    <t># pages</t>
  </si>
  <si>
    <t>X pages @ Y cost per form</t>
  </si>
  <si>
    <t>Other Costs Sub Total</t>
  </si>
  <si>
    <t>X data entry people @ Y cost x Z days each</t>
  </si>
  <si>
    <t>SINGLE PDCU TOTAL</t>
  </si>
  <si>
    <t>Frequency of PDCUs (every x months)</t>
  </si>
  <si>
    <t>Estimated percentage increase in costs from one PDCU to another</t>
  </si>
  <si>
    <t>Year 1 Sub Total</t>
  </si>
  <si>
    <t>Year 2 Sub Total</t>
  </si>
  <si>
    <t>Year 3 Sub Total</t>
  </si>
  <si>
    <t>MULTI-YEAR PDCU TOTAL</t>
  </si>
  <si>
    <t>6. All costs for an activity should be entered under that activity</t>
  </si>
  <si>
    <t>PDCU-6</t>
  </si>
  <si>
    <t>PDCU-12</t>
  </si>
  <si>
    <t>PDCU-18</t>
  </si>
  <si>
    <t>PDCU-24</t>
  </si>
  <si>
    <t>PDCU-30</t>
  </si>
  <si>
    <t>Data Entry Clerks</t>
  </si>
  <si>
    <t>ACTUAL</t>
  </si>
  <si>
    <t>AMF borne</t>
  </si>
  <si>
    <t>Estimated PDCU-6 costs finalising date</t>
  </si>
  <si>
    <t>Nets Required</t>
  </si>
  <si>
    <t># HHs:</t>
  </si>
  <si>
    <t>Post-Distribution: # nets surveyed:</t>
  </si>
  <si>
    <t>1. SHIPPING</t>
  </si>
  <si>
    <t>2. PRE-DISTRIBUTION PHASE</t>
  </si>
  <si>
    <t>3. DISTRIBUTION PHASE</t>
  </si>
  <si>
    <t># Nets</t>
  </si>
  <si>
    <t>SECTION 2 - Number of PDCUs and Cost increases over three year period</t>
  </si>
  <si>
    <t>SECTION TOTALS</t>
  </si>
  <si>
    <t>2. Section 1 is where any PDCU administrative overhead should be added</t>
  </si>
  <si>
    <t>3. Section 2 is where the number of PDCUs in the 3 year time period should be indicated</t>
  </si>
  <si>
    <t>Shipping Sub total</t>
  </si>
  <si>
    <t>Sub total</t>
  </si>
  <si>
    <t>1. Full Pre-Distribution Registration Survey (PDRS)</t>
  </si>
  <si>
    <t># vehicles</t>
  </si>
  <si>
    <t>X DEC @ Y cost x Z days each</t>
  </si>
  <si>
    <t>X Dr x Y days x Z cost per person</t>
  </si>
  <si>
    <t># refreshments</t>
  </si>
  <si>
    <t>X refreshments @Y cost</t>
  </si>
  <si>
    <t>Binding  Registers</t>
  </si>
  <si>
    <t># registers</t>
  </si>
  <si>
    <t>Driver</t>
  </si>
  <si>
    <t>%</t>
  </si>
  <si>
    <t>Mobile phone airtime</t>
  </si>
  <si>
    <t>#  units/day</t>
  </si>
  <si>
    <t>ACTIVITY</t>
  </si>
  <si>
    <t>Distribution</t>
  </si>
  <si>
    <t>Shipping</t>
  </si>
  <si>
    <t>Sub total 1 (A)</t>
  </si>
  <si>
    <t>Pre-Distribution phase</t>
  </si>
  <si>
    <t>Sub total 2 (B)</t>
  </si>
  <si>
    <t>Distribution phase</t>
  </si>
  <si>
    <t>Sub total 3 (C)</t>
  </si>
  <si>
    <t>Sub total 4 (B+C)</t>
  </si>
  <si>
    <t>Sub total 5 (A+B+C)</t>
  </si>
  <si>
    <t>Post distribution follow-up (6 months)</t>
  </si>
  <si>
    <t>YEAR 1 SUBTOTAL</t>
  </si>
  <si>
    <t>YEAR 2 SUBTOTAL</t>
  </si>
  <si>
    <t>YEAR 3 SUBTOTAL</t>
  </si>
  <si>
    <t>Post-distribution sub total</t>
  </si>
  <si>
    <t>TOTAL</t>
  </si>
  <si>
    <t>Data entry</t>
  </si>
  <si>
    <t xml:space="preserve">3. Aug 2015 - Forward </t>
  </si>
  <si>
    <t xml:space="preserve">4. Apr 2016 - Forward </t>
  </si>
  <si>
    <t>Communications - Mobile phone airtime</t>
  </si>
  <si>
    <t>Communications - Internet airtime</t>
  </si>
  <si>
    <t># copies</t>
  </si>
  <si>
    <t># refreshments per person</t>
  </si>
  <si>
    <t>No</t>
  </si>
  <si>
    <t>Pre-distribution</t>
  </si>
  <si>
    <t>1.1 National meetings (NMCP)</t>
  </si>
  <si>
    <t xml:space="preserve"> </t>
  </si>
  <si>
    <t>Unit cost (Cedis)</t>
  </si>
  <si>
    <t># of meetings</t>
  </si>
  <si>
    <t>Total cost (Cedis)</t>
  </si>
  <si>
    <t>1. National and Regional Level meetings</t>
  </si>
  <si>
    <t>Regional Coordinators</t>
  </si>
  <si>
    <t>1.3 Trainings/Orientation</t>
  </si>
  <si>
    <t>1.3.1 Orientation of district and subdistrict authorities on distribution process</t>
  </si>
  <si>
    <t>1.3.2 Orientation of Supervisors for HH assessment/registration of coupons</t>
  </si>
  <si>
    <t>1.3.3 Orientation  of Volunteers  on HH assessment/registration</t>
  </si>
  <si>
    <t>Ghana - Greater Accra, Northern and Upper West Regions - LLINs Distribution and follow up/monitoring Budgeting - With Cost Drivers</t>
  </si>
  <si>
    <t>US$:GHC X-rate:</t>
  </si>
  <si>
    <t>Stipends for data entry clerks</t>
  </si>
  <si>
    <t>Data entry centres</t>
  </si>
  <si>
    <t># centres</t>
  </si>
  <si>
    <t>Data entry, analysis and correction</t>
  </si>
  <si>
    <t>1.5 LLIN distribution exercise (supervision/monitoring by team)</t>
  </si>
  <si>
    <t xml:space="preserve">Regional Coordinators </t>
  </si>
  <si>
    <t>1.6 Post LLIN distribution</t>
  </si>
  <si>
    <t>4. POST DISTRIBUTION PHASE</t>
  </si>
  <si>
    <t xml:space="preserve">Post distribution check ups </t>
  </si>
  <si>
    <t>First  6months</t>
  </si>
  <si>
    <t># of venues</t>
  </si>
  <si>
    <t>i) Data entry</t>
  </si>
  <si>
    <t>ii) Data Analysis and correction</t>
  </si>
  <si>
    <t>1) Personnel</t>
  </si>
  <si>
    <t>Orientation/briefing Sub total</t>
  </si>
  <si>
    <t xml:space="preserve"> Personnel</t>
  </si>
  <si>
    <t>District Officers</t>
  </si>
  <si>
    <t>Venues for briefing</t>
  </si>
  <si>
    <t>Data entry clerks (T&amp;T and refreshment)</t>
  </si>
  <si>
    <t>Number of PDCUs in 2.5 year period</t>
  </si>
  <si>
    <t>PRE-DISTRIBUTION TOTAL</t>
  </si>
  <si>
    <t>DISTRIBUTION TOTAL</t>
  </si>
  <si>
    <t>Vehicles</t>
  </si>
  <si>
    <t>Vehicle maintenance</t>
  </si>
  <si>
    <t>Printers</t>
  </si>
  <si>
    <t>Modems (internet)</t>
  </si>
  <si>
    <t>Computer maintenance</t>
  </si>
  <si>
    <t># laptops</t>
  </si>
  <si>
    <t># printers</t>
  </si>
  <si>
    <t># modems</t>
  </si>
  <si>
    <t xml:space="preserve"># </t>
  </si>
  <si>
    <t>Audit expenses/fees</t>
  </si>
  <si>
    <t>Laptops and accessories</t>
  </si>
  <si>
    <t>Photo and video expenses</t>
  </si>
  <si>
    <t>Computer maintenance (antivirus, etc)</t>
  </si>
  <si>
    <t>Year 2 &amp; Year 3</t>
  </si>
  <si>
    <t>Equipments purchases and maintenance Sub Total</t>
  </si>
  <si>
    <t>Internet bundle (for modems)</t>
  </si>
  <si>
    <t># computers</t>
  </si>
  <si>
    <t>Vehicle insurance</t>
  </si>
  <si>
    <t>#</t>
  </si>
  <si>
    <t>Total Year 2 &amp;3</t>
  </si>
  <si>
    <t>ADDITIONAL BUDGET</t>
  </si>
  <si>
    <t>TOTAL EQUIPMENT PURCHASES AND MAINTENANCE</t>
  </si>
  <si>
    <t xml:space="preserve"># of staff </t>
  </si>
  <si>
    <t>TOTAL OFFICE RUNNING/ADMIN EXPENSES</t>
  </si>
  <si>
    <t>TOTAL TRAVELS</t>
  </si>
  <si>
    <t># districts</t>
  </si>
  <si>
    <t>#  days</t>
  </si>
  <si>
    <t>Orientation of supervisors for HH assessment /registration</t>
  </si>
  <si>
    <t>Orientation of Volunteers on HH assessment/registration</t>
  </si>
  <si>
    <t>Data Analysis and Correction</t>
  </si>
  <si>
    <t>Verification and final data correction</t>
  </si>
  <si>
    <t>Monitoring and supervision of LLINs Distribution</t>
  </si>
  <si>
    <t>Post-Distribution</t>
  </si>
  <si>
    <t>Data collection (100%)</t>
  </si>
  <si>
    <t>Data collection (5% checking)</t>
  </si>
  <si>
    <t>Train data entry clerks</t>
  </si>
  <si>
    <t>Data analysis, Correction and reporting</t>
  </si>
  <si>
    <t>Northern Region</t>
  </si>
  <si>
    <t>Upper West</t>
  </si>
  <si>
    <t>Greater Accra</t>
  </si>
  <si>
    <t>Ghana 2015-2018 - PRE-DISTRIBUTION, DISTRIBUTION and POST DISTRIBUTION Timeline</t>
  </si>
  <si>
    <t>Develop TOR for new staff positions</t>
  </si>
  <si>
    <t>Recruit and hire project team</t>
  </si>
  <si>
    <t>Compilation of HH data by GHS</t>
  </si>
  <si>
    <t>Briefing of supervisors and data collectors (5%)</t>
  </si>
  <si>
    <t>Final project report</t>
  </si>
  <si>
    <t>General</t>
  </si>
  <si>
    <t>World Malaria Day commemoration</t>
  </si>
  <si>
    <t>Detailed planning meeting with project team</t>
  </si>
  <si>
    <t>Training of the new team by Episcopal Relief &amp; Development</t>
  </si>
  <si>
    <t>Identification of data collectors and supervisors (5% checks)</t>
  </si>
  <si>
    <t>Monitoring/supervision of HH registration</t>
  </si>
  <si>
    <t>Pilot of mobile data collection in one district</t>
  </si>
  <si>
    <t>HH visits with education by trained community volunteers (SBCC activities)</t>
  </si>
  <si>
    <t>Orientation of supervisors and data collectors (100%)</t>
  </si>
  <si>
    <t>Collection of malaria case rate data from all health facilities</t>
  </si>
  <si>
    <t xml:space="preserve">LLIN distribution report </t>
  </si>
  <si>
    <t>Train volunteers to conduct follow up with education at HH level</t>
  </si>
  <si>
    <t>Campaign post-mortem meeting</t>
  </si>
  <si>
    <t>Informative Meeting with Regional health Directorates</t>
  </si>
  <si>
    <t>Send Plan and Budget to AMF/ Review and Revision</t>
  </si>
  <si>
    <t xml:space="preserve"> Non-Net Costs - Budget and Actual</t>
  </si>
  <si>
    <t>X-Rate (USD: CEDI) CEDI =GHANA CEDI</t>
  </si>
  <si>
    <t>Unit cost (US$)</t>
  </si>
  <si>
    <t>US$/LLIN</t>
  </si>
  <si>
    <t>%  AMF</t>
  </si>
  <si>
    <t>Total Cost Allocation (AMF)- US$</t>
  </si>
  <si>
    <t>Total Cost Allocation (ERD- US$)</t>
  </si>
  <si>
    <t>% ERD</t>
  </si>
  <si>
    <t>Program Technical Support</t>
  </si>
  <si>
    <t>Administration and Communications</t>
  </si>
  <si>
    <t>Bookkeeper</t>
  </si>
  <si>
    <t>Admin/ Errands</t>
  </si>
  <si>
    <t>Finance Director</t>
  </si>
  <si>
    <t>Grants Manager</t>
  </si>
  <si>
    <t xml:space="preserve">Senior Program Management </t>
  </si>
  <si>
    <t>Volunteers visit every month for 18 months</t>
  </si>
  <si>
    <t>After 18 months every quarter</t>
  </si>
  <si>
    <t>Mobile Pilot</t>
  </si>
  <si>
    <t>Photocopy Forms- for Data Entry (Either/or)</t>
  </si>
  <si>
    <t>Bolga Based M&amp;E Officer</t>
  </si>
  <si>
    <t>i) Briefing for Supervisors Training of Trainers</t>
  </si>
  <si>
    <t>iii) 5% data collection</t>
  </si>
  <si>
    <t># of people</t>
  </si>
  <si>
    <t>Place advertisements for data entry work</t>
  </si>
  <si>
    <t>Bolga National M&amp;E Officer</t>
  </si>
  <si>
    <t>2. Orientation of Volunteers</t>
  </si>
  <si>
    <t>Accra Based Technical Team</t>
  </si>
  <si>
    <t>i) Briefing and Equipping for Training of Trainers</t>
  </si>
  <si>
    <t>REGIONAL PERSONNEL (Greater Accra-ADDRO- Accra)</t>
  </si>
  <si>
    <t>REGIONAL PERSONNEL (UW-ADDRO- Wa)</t>
  </si>
  <si>
    <t>Executive Director/ Bishop</t>
  </si>
  <si>
    <t># of trips</t>
  </si>
  <si>
    <t>Air fare from Bolga-Accra- Round trip</t>
  </si>
  <si>
    <t>Airfare</t>
  </si>
  <si>
    <t>1.2.1</t>
  </si>
  <si>
    <t>1.2.2</t>
  </si>
  <si>
    <t>1.3.3</t>
  </si>
  <si>
    <t>1.3.2</t>
  </si>
  <si>
    <t># of regions</t>
  </si>
  <si>
    <t># sessions</t>
  </si>
  <si>
    <t>Markers (3x number of district level trainings)</t>
  </si>
  <si>
    <t>Flip charts for training at district level (a few extra)</t>
  </si>
  <si>
    <t>1 Clear bags for water protection of files (for data collector + a few extra)</t>
  </si>
  <si>
    <t>i. Training of data entry team TOT</t>
  </si>
  <si>
    <t>1.1 - 1.3 Subtotal Meetings and pre Distribution Monitoring</t>
  </si>
  <si>
    <t>1.3.4 Household Registration process</t>
  </si>
  <si>
    <t xml:space="preserve">1.3.4 Monitoring of HH registration </t>
  </si>
  <si>
    <t>1.3.4</t>
  </si>
  <si>
    <t>1.4.1 Data Collection (5% checks)</t>
  </si>
  <si>
    <t>iv) Stationary</t>
  </si>
  <si>
    <t>v) Other costs</t>
  </si>
  <si>
    <t>Printed Data Page Template per Household Visited</t>
  </si>
  <si>
    <t>ii. Recruitment and training of data entry clerks</t>
  </si>
  <si>
    <t>Data Supervisors</t>
  </si>
  <si>
    <t>Note pad (1 per district officer + data supervisor)</t>
  </si>
  <si>
    <t>Boga National M&amp;E Officer</t>
  </si>
  <si>
    <t>1.4.1.1</t>
  </si>
  <si>
    <t>1.4.1.2</t>
  </si>
  <si>
    <t>1.4.1.3</t>
  </si>
  <si>
    <t>1.4.1.4</t>
  </si>
  <si>
    <t>1.4.1.5</t>
  </si>
  <si>
    <t xml:space="preserve">1.4.2 Data Entry (for HH registration) </t>
  </si>
  <si>
    <t>1.4.2.1</t>
  </si>
  <si>
    <t>1.4.2.2</t>
  </si>
  <si>
    <t>1.4.2.3</t>
  </si>
  <si>
    <t>1.4.2.4</t>
  </si>
  <si>
    <t>Fuel for Regional Teams</t>
  </si>
  <si>
    <t>Fuel for Regional Team</t>
  </si>
  <si>
    <t>Per diem</t>
  </si>
  <si>
    <t>Air fare from Accra- Round trip to Bolga</t>
  </si>
  <si>
    <t>Per Diem</t>
  </si>
  <si>
    <t>Venue</t>
  </si>
  <si>
    <t>ToT Sub total</t>
  </si>
  <si>
    <t>Training, Facilitation, and Supervision Support Sub total</t>
  </si>
  <si>
    <t>ii) SBCC Training and Savings Facilitation, Bi Monthly Supervision and Support for Volunteers</t>
  </si>
  <si>
    <t>1.1-1.4</t>
  </si>
  <si>
    <t>Pencils for each data collectors</t>
  </si>
  <si>
    <t xml:space="preserve">2 Pens for each data collector </t>
  </si>
  <si>
    <t>1 Volunteer journal per data collector + a few extra</t>
  </si>
  <si>
    <t>Note pad (1 per sub district officer)</t>
  </si>
  <si>
    <t>Clear bags for water protection of files (for data collector + a few extra)</t>
  </si>
  <si>
    <t>1 canvas bag per data collector</t>
  </si>
  <si>
    <t>X minutes @ Y cost per day</t>
  </si>
  <si>
    <t>2.1.2</t>
  </si>
  <si>
    <t>2.1.3</t>
  </si>
  <si>
    <t>ii) Briefing for data enumerators</t>
  </si>
  <si>
    <t>Data enumerators</t>
  </si>
  <si>
    <t xml:space="preserve">2 Pencils for each data collector </t>
  </si>
  <si>
    <t>2.2.1</t>
  </si>
  <si>
    <t>2.2.2</t>
  </si>
  <si>
    <t>2.3.1</t>
  </si>
  <si>
    <t>2.3.2</t>
  </si>
  <si>
    <t>2.3.3</t>
  </si>
  <si>
    <t>LLIN ACTIVITIES SUB TOTAL</t>
  </si>
  <si>
    <t>handset</t>
  </si>
  <si>
    <t>Mobile pilot Smartphone: Samsung Galaxy S Duos (GT-S7582 and GT-7582L)</t>
  </si>
  <si>
    <t># days supervision</t>
  </si>
  <si>
    <t># of days in field</t>
  </si>
  <si>
    <t>Day</t>
  </si>
  <si>
    <t>2 Pencils for each data enumerator + district officer</t>
  </si>
  <si>
    <t>1 Pencil sharpeners for each data enumerator + district Officer</t>
  </si>
  <si>
    <t>2 Pens for each data enumerator + district officer</t>
  </si>
  <si>
    <t>Laminated Files (1 per community)</t>
  </si>
  <si>
    <t xml:space="preserve">Photocopy Forms- for Data Entry </t>
  </si>
  <si>
    <t>Round trip rent</t>
  </si>
  <si>
    <t>Transport of registars to ADDRO regional offices</t>
  </si>
  <si>
    <t># of days</t>
  </si>
  <si>
    <t># of trucks</t>
  </si>
  <si>
    <t>Bolga M&amp;E Manager</t>
  </si>
  <si>
    <t>1.6.1</t>
  </si>
  <si>
    <t>SECTION 2</t>
  </si>
  <si>
    <t>2.1. Orientation of Supervisors and Staff on Full Methodology (100% - MAIN)</t>
  </si>
  <si>
    <t>2.1.1.</t>
  </si>
  <si>
    <t>2.1.1a</t>
  </si>
  <si>
    <t>Protective cases for smartphones</t>
  </si>
  <si>
    <t>Replacement/rechargeable smartphone batteries: ALLPOWERS 15600mAh external battery</t>
  </si>
  <si>
    <t>Smartphone replacement battery recharger</t>
  </si>
  <si>
    <t>Laptop: Lenovo T430</t>
  </si>
  <si>
    <t>USB Memory Device (per laptop)</t>
  </si>
  <si>
    <t>Wifi Router: TP‐Link Wireless N Nano</t>
  </si>
  <si>
    <t>`</t>
  </si>
  <si>
    <t># data enumerators</t>
  </si>
  <si>
    <t>Open Source Data KIT</t>
  </si>
  <si>
    <t>per district</t>
  </si>
  <si>
    <t>per laptop</t>
  </si>
  <si>
    <t>per project</t>
  </si>
  <si>
    <t>5.  COMMUNITY SENSITIZATION- NET CULTURE (ERD METHODS)</t>
  </si>
  <si>
    <t>4. POST-DISTRIBUTION PHASE (PDCU AMF METHODS)</t>
  </si>
  <si>
    <t>AMF/ ERD/ ADDRO PARTNERSHIP 2016-2018  ACTIVITIES TOTAL</t>
  </si>
  <si>
    <t>Regional Coordinator (UW)</t>
  </si>
  <si>
    <t># of years</t>
  </si>
  <si>
    <t>World Malaria Day Celebrations</t>
  </si>
  <si>
    <t>Particpation</t>
  </si>
  <si>
    <t>Cost per audit</t>
  </si>
  <si>
    <t># of audits</t>
  </si>
  <si>
    <t>Office rent (Greater Accra staff)</t>
  </si>
  <si>
    <t># of cameras</t>
  </si>
  <si>
    <t xml:space="preserve">Cost </t>
  </si>
  <si>
    <t># of months</t>
  </si>
  <si>
    <t>Cost per month</t>
  </si>
  <si>
    <t>STAFFING, SUPERVISION, EQUIPMENT, DETAIL</t>
  </si>
  <si>
    <t>Airfare (NY-Accra)</t>
  </si>
  <si>
    <t>ERD Cost Share</t>
  </si>
  <si>
    <t>Orientation of supervisors and data enumerators( 5% checks)</t>
  </si>
  <si>
    <t>ERD/ ADDRO full methodology training meeting</t>
  </si>
  <si>
    <t>Design and print volunteer journals</t>
  </si>
  <si>
    <t>Supervision visits of field activities</t>
  </si>
  <si>
    <t>Airfare (Accra-Tamale)</t>
  </si>
  <si>
    <t>District LLINs distribution committee meetings</t>
  </si>
  <si>
    <t>Regional Planning workshop - RHD, DDs, RCC</t>
  </si>
  <si>
    <t>Regional Orientation (Region and district)</t>
  </si>
  <si>
    <t>Community mobilisation activities</t>
  </si>
  <si>
    <t>Development of Radio &amp; Van Skits &amp; Announcements</t>
  </si>
  <si>
    <t>Radio &amp; Van Ancmnts/Discussn (Distribution process)</t>
  </si>
  <si>
    <t>Press briefing by NMCP and partners</t>
  </si>
  <si>
    <t>Press release by NMCP and partners</t>
  </si>
  <si>
    <t>HH registration and issuing out of coupons to households (5 days)</t>
  </si>
  <si>
    <t>Report on HH registration exercise</t>
  </si>
  <si>
    <t>Pre-distribution validation by NMCP/GHS</t>
  </si>
  <si>
    <t>Data collection (5% checks on HH registration)</t>
  </si>
  <si>
    <t>Train data entry clerks (100% and 5% = 105 HH registration data)</t>
  </si>
  <si>
    <t>Data entry for HH registration data ( 105% )</t>
  </si>
  <si>
    <t>National Meetings (once a month)</t>
  </si>
  <si>
    <t>Air fare from Tamale-Accra- Round trip</t>
  </si>
  <si>
    <t>Fuel (Bolga to Tamale round trip)</t>
  </si>
  <si>
    <t>Fuel (around Accra for National Meetings)</t>
  </si>
  <si>
    <t>Overnight required</t>
  </si>
  <si>
    <t># of Venues</t>
  </si>
  <si>
    <t>25 HH per enumerator per day</t>
  </si>
  <si>
    <t>Per diem/ overnight</t>
  </si>
  <si>
    <t># of daily graphic venues</t>
  </si>
  <si>
    <t>Venue (Northern Ghana)</t>
  </si>
  <si>
    <t xml:space="preserve">Executive Director </t>
  </si>
  <si>
    <t xml:space="preserve">Head of ADDRO Programs </t>
  </si>
  <si>
    <t xml:space="preserve">Health Coordinator </t>
  </si>
  <si>
    <t>M&amp;E Officer</t>
  </si>
  <si>
    <t xml:space="preserve">Finance Officer </t>
  </si>
  <si>
    <t>REGIONAL PERSONNEL (Northern-ADDRO- Tamale) 2/ 2% increases</t>
  </si>
  <si>
    <t>Community volunteer/ data collector</t>
  </si>
  <si>
    <t>Data enumerators, and overseers</t>
  </si>
  <si>
    <t>Data enumerators/ and overseers</t>
  </si>
  <si>
    <t>Technology Support</t>
  </si>
  <si>
    <t>National Program Coordinator</t>
  </si>
  <si>
    <t>Data Entry Manager</t>
  </si>
  <si>
    <t xml:space="preserve">Technology Support Accommodation </t>
  </si>
  <si>
    <t>National Program Coordinator/ M&amp;E Review</t>
  </si>
  <si>
    <t>Pre Distribution</t>
  </si>
  <si>
    <t>Post Distribution</t>
  </si>
  <si>
    <t>Accra Technical Team</t>
  </si>
  <si>
    <t>Regional Coordinator- Greater Accra</t>
  </si>
  <si>
    <t>Regional Coordinator Northern- ADDRO</t>
  </si>
  <si>
    <t>Bolga Health Coordinator</t>
  </si>
  <si>
    <t>Bolga Head of Programs</t>
  </si>
  <si>
    <t>Accra based Technical Team</t>
  </si>
  <si>
    <t>Renumeration</t>
  </si>
  <si>
    <t>Cedis</t>
  </si>
  <si>
    <t>US$</t>
  </si>
  <si>
    <t>PER DAY</t>
  </si>
  <si>
    <t>includes +22% benefits</t>
  </si>
  <si>
    <t>EPISCOPAL RELIEF &amp; DEVELOPMENT (ACCRA) - includes benefits</t>
  </si>
  <si>
    <t>EPISCOPAL RELIEF &amp; DEVELOPMENT NEW YORK COSTS includes benefits</t>
  </si>
  <si>
    <t># of DAYS</t>
  </si>
  <si>
    <t>NATIONAL PERSONNEL (ADDRO Bolga) includes 22% benefits</t>
  </si>
  <si>
    <t>Per Day</t>
  </si>
  <si>
    <t>Locally (no overnight)</t>
  </si>
  <si>
    <t>in Accra and Environs (Hotel + Food)</t>
  </si>
  <si>
    <t>in Bolga and Environs (Hotel + Food)</t>
  </si>
  <si>
    <t xml:space="preserve">Travel Stipends </t>
  </si>
  <si>
    <t>within Regions (Including Overnight)</t>
  </si>
  <si>
    <t>Regional Coordinator (Upper West)</t>
  </si>
  <si>
    <t>Regional Coordinator (Greater Accra)</t>
  </si>
  <si>
    <t>Head of Programs (Bolga/Northern)</t>
  </si>
  <si>
    <t>1.2.1 Regional Planning Workshops</t>
  </si>
  <si>
    <t>Regional Coordinator (Northern)</t>
  </si>
  <si>
    <t xml:space="preserve">Per Diem </t>
  </si>
  <si>
    <t>Fuel (Much Movement in the regions)</t>
  </si>
  <si>
    <t>M&amp;E/ Data Supervisors</t>
  </si>
  <si>
    <t>Per Diem (includes overnights)</t>
  </si>
  <si>
    <t># per diem per person</t>
  </si>
  <si>
    <t>1.3.5</t>
  </si>
  <si>
    <t>1.3.5 Pre Distribution LLIN validation</t>
  </si>
  <si>
    <t>Northern</t>
  </si>
  <si>
    <t>Bolga M&amp;E Officer</t>
  </si>
  <si>
    <t>Regional Coordinator</t>
  </si>
  <si>
    <t>Drivrs</t>
  </si>
  <si>
    <t>New York Final Review</t>
  </si>
  <si>
    <t>Bolga Finance Director</t>
  </si>
  <si>
    <t>Technical Finalization- NY</t>
  </si>
  <si>
    <t>Finance Finalization- NY</t>
  </si>
  <si>
    <t>Subdistrict Volunteer Supervisors</t>
  </si>
  <si>
    <t>Book keepers</t>
  </si>
  <si>
    <t>Subdistrict Supervisors</t>
  </si>
  <si>
    <t>District Supervisors</t>
  </si>
  <si>
    <t>1.5.1 Report on Distribution Exercise</t>
  </si>
  <si>
    <t>1.5.1</t>
  </si>
  <si>
    <t>NY Supervision Team</t>
  </si>
  <si>
    <t>Bookkeepers</t>
  </si>
  <si>
    <t>Airfare Bolga-Accra</t>
  </si>
  <si>
    <t>Fare</t>
  </si>
  <si>
    <t>Venue Space</t>
  </si>
  <si>
    <t>Airfare NY-Accra</t>
  </si>
  <si>
    <t>Per Diem for Training</t>
  </si>
  <si>
    <t>Per Diem for Travel</t>
  </si>
  <si>
    <t>Per Diem (overnight)</t>
  </si>
  <si>
    <t>TOTAL Cost per LLIN</t>
  </si>
  <si>
    <t>AMF Cost per LLIN</t>
  </si>
  <si>
    <t>ERD Cost per LLIN</t>
  </si>
  <si>
    <t>2.3.4</t>
  </si>
  <si>
    <t>2.3.5</t>
  </si>
  <si>
    <t>Per Diem (Local)</t>
  </si>
  <si>
    <t>Refreshments (Briefing)</t>
  </si>
  <si>
    <t>Journal Pages</t>
  </si>
  <si>
    <t>Cost per page</t>
  </si>
  <si>
    <t># HHs</t>
  </si>
  <si>
    <t xml:space="preserve">Data entry form LLINs per HH for 25 months </t>
  </si>
  <si>
    <t>Technical Review- NY</t>
  </si>
  <si>
    <t>Finance Review- NY</t>
  </si>
  <si>
    <t>Radio announcements</t>
  </si>
  <si>
    <t>TOTAL EXPECTED</t>
  </si>
  <si>
    <t>NEEDED DAYS</t>
  </si>
  <si>
    <t>REQUIRED COMPENSATION</t>
  </si>
  <si>
    <t xml:space="preserve">ERD </t>
  </si>
  <si>
    <t>Program</t>
  </si>
  <si>
    <t>Volunteer Supervisor (Northern)</t>
  </si>
  <si>
    <t>Volunteer Supervisor (Upper West)</t>
  </si>
  <si>
    <t>Volunteer Supervisor (Greater Accra)</t>
  </si>
  <si>
    <t>Volunteer Supervisor</t>
  </si>
  <si>
    <t>Volunteer Supervisers</t>
  </si>
  <si>
    <t>NY Technical Support</t>
  </si>
  <si>
    <t>HH records Savings and Health indicator Records</t>
  </si>
  <si>
    <t>Volunteer Supervisors</t>
  </si>
  <si>
    <t>Volunteer Superviser</t>
  </si>
  <si>
    <t>Per Diem (Accra)</t>
  </si>
  <si>
    <t># of persons</t>
  </si>
  <si>
    <t>% Per TOTAL COST</t>
  </si>
  <si>
    <t>AMF Costs</t>
  </si>
  <si>
    <t xml:space="preserve">AMF Cost Share </t>
  </si>
  <si>
    <t xml:space="preserve">ERD Cost Share </t>
  </si>
  <si>
    <t>1.3.1.5 Recruitment  of Subdistrict Volunteers</t>
  </si>
  <si>
    <t>space</t>
  </si>
  <si>
    <t>Regional Teams incl Volunter Supervisors</t>
  </si>
  <si>
    <t>Admin and Communications</t>
  </si>
  <si>
    <t>7.  OPERATIONAL COSTS</t>
  </si>
  <si>
    <t>1.2.2 Recruitment, Program Design, and Positioning</t>
  </si>
  <si>
    <t>Recruitment advertisements</t>
  </si>
  <si>
    <t>Accra Technology Support/ Database set up</t>
  </si>
  <si>
    <t>1.2.3</t>
  </si>
  <si>
    <t>1.3.1</t>
  </si>
  <si>
    <t>1.2.3 Informative Regional Meetings</t>
  </si>
  <si>
    <t>1. April 2016 - Current</t>
  </si>
  <si>
    <t>2. April 2016 - Forward</t>
  </si>
  <si>
    <t>(CEDI)</t>
  </si>
  <si>
    <t>1.4.1 Report on HH Registration Exercise</t>
  </si>
  <si>
    <t>1.4.1</t>
  </si>
  <si>
    <t>ERD borne</t>
  </si>
  <si>
    <t>2.2 100% data collection(MAIN)</t>
  </si>
  <si>
    <t>2.2.3</t>
  </si>
  <si>
    <t>2.3 Data Collection (5% checks)</t>
  </si>
  <si>
    <t>2.2.2) Stationary and Equipment</t>
  </si>
  <si>
    <t>2.2.3 Other costs</t>
  </si>
  <si>
    <t>2.3.1 Briefing for Supervisors Training of Trainers</t>
  </si>
  <si>
    <t>2.3.2 Briefing for data enumerators</t>
  </si>
  <si>
    <t>2.3.3 5% data collection</t>
  </si>
  <si>
    <t>2.3.4 Stationary</t>
  </si>
  <si>
    <t>2.1 Post Distribution Methodology and Orientation Sub total</t>
  </si>
  <si>
    <t>2.2  100% Data Collection Sub total</t>
  </si>
  <si>
    <t>1.6.1 Campaign post-mortem meetings and voucher collection</t>
  </si>
  <si>
    <t>2.1.2 Health Messaging and Savings Group Training</t>
  </si>
  <si>
    <t>2.1.3 Reports on HH level Community Sensitizations</t>
  </si>
  <si>
    <t>2.2.1 Periodic supervision and 100% HH data collection</t>
  </si>
  <si>
    <t>2.3.5 Other costs incl Mobile Data Pilot</t>
  </si>
  <si>
    <t>VOLUNTEER Engagement Stipends</t>
  </si>
  <si>
    <t>2.3 Data Collection (5%) Subtotal</t>
  </si>
  <si>
    <t xml:space="preserve">2.4 Data Entry (for PDCU ) </t>
  </si>
  <si>
    <t>2.4.1 Training of data entry team TOT</t>
  </si>
  <si>
    <t>2.4.1</t>
  </si>
  <si>
    <t>2.4.2. Recruitment and training of data entry clerks</t>
  </si>
  <si>
    <t>2.4.2</t>
  </si>
  <si>
    <t>2.4.3 Data entry</t>
  </si>
  <si>
    <r>
      <t xml:space="preserve">2.4.4 Data Analysis and correction </t>
    </r>
    <r>
      <rPr>
        <b/>
        <sz val="11"/>
        <color rgb="FFFF0000"/>
        <rFont val="Calibri"/>
        <family val="2"/>
        <scheme val="minor"/>
      </rPr>
      <t>review w/ AMF</t>
    </r>
  </si>
  <si>
    <t>2.4.5. Verification and final data correction</t>
  </si>
  <si>
    <t>2.4.6 Report on PDCU Exercise</t>
  </si>
  <si>
    <t>2.4.6</t>
  </si>
  <si>
    <t>2.4.5</t>
  </si>
  <si>
    <t>2.4.4</t>
  </si>
  <si>
    <t>2.4.3</t>
  </si>
  <si>
    <t>2.4 Data Entry, Analysis, Correction, and Report Subtotal</t>
  </si>
  <si>
    <t>1st year</t>
  </si>
  <si>
    <t>Sub total (1.6-2.1)</t>
  </si>
  <si>
    <t>2.4 PDCU month 6 Sub total (2.2-2.4)</t>
  </si>
  <si>
    <t>3.2 Post-distribution follow up - 18 months</t>
  </si>
  <si>
    <t>3.3 Post-distribution follow up - 24 months</t>
  </si>
  <si>
    <t>3.4 Post-distribution follow up - 30 months</t>
  </si>
  <si>
    <t xml:space="preserve">4.1 Equipment and Maintenance </t>
  </si>
  <si>
    <t>5.  INDIRECT COST RECOVERY @ 10%</t>
  </si>
  <si>
    <t>4. Supervision, Equipment, Communications, and Audits</t>
  </si>
  <si>
    <t xml:space="preserve">4.2 Office Running, Internet, and Audit Costs </t>
  </si>
  <si>
    <t>4.3 Grant Management, Admin Support</t>
  </si>
  <si>
    <t xml:space="preserve">Subtotal </t>
  </si>
  <si>
    <t>Indirect Cost Recovery @ 10%</t>
  </si>
  <si>
    <t>GRAND TOTAL</t>
  </si>
  <si>
    <t>Coding detail, review and journals by M&amp;E Officer</t>
  </si>
  <si>
    <t>3.1 Post-distribution follow up - 12 months- Subtracted 2.4.1 and 2.4.2</t>
  </si>
  <si>
    <t>Transport of Data Collection Binders</t>
  </si>
  <si>
    <t>\</t>
  </si>
  <si>
    <t>reduce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</si>
</sst>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Red]\+#,##0;[Blue]\-#,##0;[Blue]\+0"/>
    <numFmt numFmtId="167" formatCode="[Red]\+#,##0%;[Blue]\-#,##0%;[Blue]0%"/>
    <numFmt numFmtId="168" formatCode="0.0%"/>
    <numFmt numFmtId="169" formatCode="#,##0.0"/>
    <numFmt numFmtId="170" formatCode="[$-409]mmmm\-yy;@"/>
    <numFmt numFmtId="171" formatCode="#,##0.000"/>
    <numFmt numFmtId="172" formatCode="0.000"/>
    <numFmt numFmtId="173" formatCode="_-* #,##0_-;\-* #,##0_-;_-* &quot;-&quot;??_-;_-@_-"/>
    <numFmt numFmtId="174" formatCode="\$#,##0;\-\$#,##0"/>
    <numFmt numFmtId="175" formatCode="_-* #,##0.0_-;\-* #,##0.0_-;_-* &quot;-&quot;??_-;_-@_-"/>
    <numFmt numFmtId="176" formatCode="#,##0.0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rgb="FF0000FF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3366FF"/>
      <name val="Calibri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9"/>
      <color indexed="8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theme="0" tint="-0.1499679555650502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 style="thin">
        <color rgb="FFD9D9D9"/>
      </left>
      <right/>
      <top/>
      <bottom style="thin">
        <color rgb="FFD9D9D9"/>
      </bottom>
      <diagonal/>
    </border>
  </borders>
  <cellStyleXfs count="5112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000">
    <xf numFmtId="0" fontId="0" fillId="0" borderId="0" xfId="0"/>
    <xf numFmtId="0" fontId="6" fillId="0" borderId="0" xfId="0" applyFont="1" applyBorder="1" applyAlignment="1">
      <alignment horizontal="right"/>
    </xf>
    <xf numFmtId="3" fontId="0" fillId="0" borderId="0" xfId="0" applyNumberFormat="1" applyFont="1" applyFill="1"/>
    <xf numFmtId="0" fontId="6" fillId="0" borderId="0" xfId="0" applyFont="1" applyBorder="1" applyAlignment="1">
      <alignment horizontal="center"/>
    </xf>
    <xf numFmtId="0" fontId="0" fillId="0" borderId="0" xfId="0" applyFont="1" applyBorder="1"/>
    <xf numFmtId="3" fontId="0" fillId="0" borderId="0" xfId="0" applyNumberFormat="1" applyFont="1"/>
    <xf numFmtId="0" fontId="0" fillId="0" borderId="0" xfId="0" applyFont="1" applyFill="1"/>
    <xf numFmtId="0" fontId="0" fillId="0" borderId="0" xfId="0" applyFont="1" applyFill="1" applyBorder="1"/>
    <xf numFmtId="3" fontId="2" fillId="0" borderId="0" xfId="0" applyNumberFormat="1" applyFont="1" applyBorder="1"/>
    <xf numFmtId="0" fontId="7" fillId="0" borderId="0" xfId="0" applyFont="1" applyBorder="1" applyAlignment="1">
      <alignment horizontal="right"/>
    </xf>
    <xf numFmtId="0" fontId="8" fillId="0" borderId="0" xfId="0" applyFont="1"/>
    <xf numFmtId="3" fontId="2" fillId="0" borderId="0" xfId="0" applyNumberFormat="1" applyFont="1" applyFill="1" applyAlignment="1">
      <alignment horizontal="center"/>
    </xf>
    <xf numFmtId="4" fontId="2" fillId="0" borderId="0" xfId="0" applyNumberFormat="1" applyFont="1" applyBorder="1"/>
    <xf numFmtId="0" fontId="0" fillId="0" borderId="0" xfId="0" applyFont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/>
    <xf numFmtId="9" fontId="4" fillId="0" borderId="0" xfId="1" applyFont="1" applyBorder="1"/>
    <xf numFmtId="49" fontId="5" fillId="0" borderId="0" xfId="0" applyNumberFormat="1" applyFont="1" applyAlignment="1">
      <alignment horizontal="right"/>
    </xf>
    <xf numFmtId="0" fontId="9" fillId="0" borderId="0" xfId="0" applyFont="1"/>
    <xf numFmtId="0" fontId="3" fillId="0" borderId="0" xfId="0" applyFont="1" applyBorder="1"/>
    <xf numFmtId="17" fontId="7" fillId="0" borderId="0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right"/>
    </xf>
    <xf numFmtId="0" fontId="9" fillId="0" borderId="7" xfId="0" applyFont="1" applyBorder="1"/>
    <xf numFmtId="49" fontId="5" fillId="0" borderId="7" xfId="0" applyNumberFormat="1" applyFont="1" applyBorder="1" applyAlignment="1">
      <alignment horizontal="right"/>
    </xf>
    <xf numFmtId="3" fontId="5" fillId="0" borderId="7" xfId="0" applyNumberFormat="1" applyFont="1" applyFill="1" applyBorder="1" applyAlignment="1">
      <alignment horizontal="center"/>
    </xf>
    <xf numFmtId="49" fontId="5" fillId="0" borderId="8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8" fillId="0" borderId="0" xfId="0" applyFont="1" applyBorder="1"/>
    <xf numFmtId="3" fontId="0" fillId="0" borderId="12" xfId="0" applyNumberFormat="1" applyFont="1" applyBorder="1"/>
    <xf numFmtId="3" fontId="0" fillId="0" borderId="0" xfId="0" applyNumberFormat="1" applyFont="1" applyBorder="1"/>
    <xf numFmtId="4" fontId="2" fillId="0" borderId="13" xfId="0" applyNumberFormat="1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2" xfId="0" applyFont="1" applyFill="1" applyBorder="1"/>
    <xf numFmtId="0" fontId="0" fillId="0" borderId="13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3" fontId="0" fillId="0" borderId="0" xfId="0" applyNumberFormat="1" applyFont="1" applyFill="1" applyBorder="1"/>
    <xf numFmtId="0" fontId="11" fillId="0" borderId="0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/>
    </xf>
    <xf numFmtId="3" fontId="2" fillId="0" borderId="0" xfId="0" applyNumberFormat="1" applyFont="1"/>
    <xf numFmtId="3" fontId="5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2" fontId="2" fillId="0" borderId="0" xfId="0" applyNumberFormat="1" applyFont="1"/>
    <xf numFmtId="2" fontId="0" fillId="0" borderId="0" xfId="0" applyNumberFormat="1" applyFont="1"/>
    <xf numFmtId="2" fontId="5" fillId="0" borderId="0" xfId="0" applyNumberFormat="1" applyFont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0" fillId="0" borderId="0" xfId="0" applyNumberFormat="1" applyFont="1" applyBorder="1"/>
    <xf numFmtId="2" fontId="0" fillId="0" borderId="0" xfId="0" applyNumberFormat="1" applyFont="1" applyFill="1" applyBorder="1"/>
    <xf numFmtId="167" fontId="0" fillId="0" borderId="0" xfId="0" applyNumberFormat="1" applyFont="1"/>
    <xf numFmtId="167" fontId="0" fillId="0" borderId="0" xfId="0" applyNumberFormat="1" applyFont="1" applyFill="1"/>
    <xf numFmtId="166" fontId="0" fillId="0" borderId="0" xfId="0" applyNumberFormat="1" applyFont="1"/>
    <xf numFmtId="166" fontId="0" fillId="0" borderId="0" xfId="0" applyNumberFormat="1" applyFont="1" applyFill="1"/>
    <xf numFmtId="3" fontId="2" fillId="0" borderId="0" xfId="0" applyNumberFormat="1" applyFont="1" applyFill="1" applyBorder="1"/>
    <xf numFmtId="0" fontId="0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0" xfId="0" applyFont="1"/>
    <xf numFmtId="3" fontId="4" fillId="3" borderId="16" xfId="0" applyNumberFormat="1" applyFont="1" applyFill="1" applyBorder="1" applyAlignment="1">
      <alignment horizontal="center"/>
    </xf>
    <xf numFmtId="3" fontId="2" fillId="0" borderId="12" xfId="0" applyNumberFormat="1" applyFont="1" applyBorder="1"/>
    <xf numFmtId="2" fontId="2" fillId="0" borderId="0" xfId="0" applyNumberFormat="1" applyFont="1" applyBorder="1"/>
    <xf numFmtId="166" fontId="2" fillId="0" borderId="0" xfId="0" applyNumberFormat="1" applyFont="1" applyBorder="1"/>
    <xf numFmtId="167" fontId="2" fillId="0" borderId="0" xfId="0" applyNumberFormat="1" applyFont="1" applyBorder="1"/>
    <xf numFmtId="49" fontId="14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49" fontId="14" fillId="0" borderId="0" xfId="0" applyNumberFormat="1" applyFont="1" applyFill="1" applyBorder="1" applyAlignment="1">
      <alignment horizontal="right"/>
    </xf>
    <xf numFmtId="0" fontId="2" fillId="4" borderId="0" xfId="0" applyFont="1" applyFill="1"/>
    <xf numFmtId="0" fontId="4" fillId="4" borderId="0" xfId="0" applyFont="1" applyFill="1"/>
    <xf numFmtId="3" fontId="2" fillId="4" borderId="0" xfId="0" applyNumberFormat="1" applyFont="1" applyFill="1"/>
    <xf numFmtId="2" fontId="2" fillId="4" borderId="0" xfId="0" applyNumberFormat="1" applyFont="1" applyFill="1"/>
    <xf numFmtId="3" fontId="2" fillId="0" borderId="0" xfId="0" applyNumberFormat="1" applyFont="1" applyFill="1"/>
    <xf numFmtId="3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0" fillId="0" borderId="0" xfId="0"/>
    <xf numFmtId="0" fontId="0" fillId="0" borderId="3" xfId="0" applyFont="1" applyFill="1" applyBorder="1"/>
    <xf numFmtId="0" fontId="18" fillId="0" borderId="3" xfId="0" applyFont="1" applyFill="1" applyBorder="1" applyAlignment="1">
      <alignment wrapText="1"/>
    </xf>
    <xf numFmtId="0" fontId="2" fillId="0" borderId="3" xfId="0" applyFont="1" applyFill="1" applyBorder="1"/>
    <xf numFmtId="0" fontId="2" fillId="0" borderId="3" xfId="0" applyFont="1" applyBorder="1" applyAlignment="1">
      <alignment horizontal="right"/>
    </xf>
    <xf numFmtId="0" fontId="4" fillId="0" borderId="3" xfId="0" applyFont="1" applyBorder="1"/>
    <xf numFmtId="0" fontId="19" fillId="0" borderId="3" xfId="0" applyFont="1" applyFill="1" applyBorder="1" applyAlignment="1">
      <alignment wrapText="1"/>
    </xf>
    <xf numFmtId="3" fontId="20" fillId="0" borderId="3" xfId="0" applyNumberFormat="1" applyFont="1" applyBorder="1" applyAlignment="1">
      <alignment horizontal="right" wrapText="1"/>
    </xf>
    <xf numFmtId="0" fontId="19" fillId="5" borderId="3" xfId="0" applyFont="1" applyFill="1" applyBorder="1" applyAlignment="1">
      <alignment wrapText="1"/>
    </xf>
    <xf numFmtId="0" fontId="21" fillId="0" borderId="3" xfId="0" applyFont="1" applyFill="1" applyBorder="1"/>
    <xf numFmtId="3" fontId="18" fillId="0" borderId="3" xfId="0" applyNumberFormat="1" applyFont="1" applyBorder="1" applyAlignment="1">
      <alignment wrapText="1"/>
    </xf>
    <xf numFmtId="0" fontId="19" fillId="6" borderId="3" xfId="0" applyFont="1" applyFill="1" applyBorder="1" applyAlignment="1">
      <alignment wrapText="1"/>
    </xf>
    <xf numFmtId="0" fontId="18" fillId="6" borderId="3" xfId="0" applyFont="1" applyFill="1" applyBorder="1" applyAlignment="1">
      <alignment wrapText="1"/>
    </xf>
    <xf numFmtId="3" fontId="18" fillId="0" borderId="3" xfId="0" applyNumberFormat="1" applyFont="1" applyFill="1" applyBorder="1" applyAlignment="1">
      <alignment wrapText="1"/>
    </xf>
    <xf numFmtId="0" fontId="0" fillId="2" borderId="3" xfId="0" applyFont="1" applyFill="1" applyBorder="1"/>
    <xf numFmtId="0" fontId="21" fillId="2" borderId="3" xfId="0" applyFont="1" applyFill="1" applyBorder="1"/>
    <xf numFmtId="0" fontId="18" fillId="0" borderId="18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19" fillId="0" borderId="18" xfId="0" applyFont="1" applyFill="1" applyBorder="1" applyAlignment="1">
      <alignment wrapText="1"/>
    </xf>
    <xf numFmtId="0" fontId="20" fillId="0" borderId="19" xfId="0" applyFont="1" applyFill="1" applyBorder="1" applyAlignment="1">
      <alignment wrapText="1"/>
    </xf>
    <xf numFmtId="3" fontId="18" fillId="0" borderId="4" xfId="0" applyNumberFormat="1" applyFont="1" applyBorder="1" applyAlignment="1">
      <alignment wrapText="1"/>
    </xf>
    <xf numFmtId="0" fontId="0" fillId="0" borderId="0" xfId="0" applyFill="1" applyBorder="1"/>
    <xf numFmtId="0" fontId="18" fillId="0" borderId="21" xfId="0" applyFont="1" applyFill="1" applyBorder="1" applyAlignment="1">
      <alignment wrapText="1"/>
    </xf>
    <xf numFmtId="0" fontId="18" fillId="0" borderId="19" xfId="0" applyFont="1" applyFill="1" applyBorder="1" applyAlignment="1">
      <alignment wrapText="1"/>
    </xf>
    <xf numFmtId="3" fontId="18" fillId="0" borderId="0" xfId="0" applyNumberFormat="1" applyFont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22" xfId="0" applyFont="1" applyFill="1" applyBorder="1" applyAlignment="1">
      <alignment wrapText="1"/>
    </xf>
    <xf numFmtId="0" fontId="0" fillId="0" borderId="0" xfId="0" applyAlignment="1">
      <alignment horizontal="right"/>
    </xf>
    <xf numFmtId="3" fontId="18" fillId="0" borderId="22" xfId="0" applyNumberFormat="1" applyFont="1" applyBorder="1" applyAlignment="1">
      <alignment wrapText="1"/>
    </xf>
    <xf numFmtId="3" fontId="1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3" fontId="18" fillId="0" borderId="22" xfId="0" applyNumberFormat="1" applyFont="1" applyFill="1" applyBorder="1" applyAlignment="1">
      <alignment wrapText="1"/>
    </xf>
    <xf numFmtId="3" fontId="18" fillId="0" borderId="4" xfId="0" applyNumberFormat="1" applyFont="1" applyFill="1" applyBorder="1" applyAlignment="1">
      <alignment wrapText="1"/>
    </xf>
    <xf numFmtId="3" fontId="18" fillId="0" borderId="0" xfId="0" applyNumberFormat="1" applyFont="1" applyFill="1" applyBorder="1" applyAlignment="1">
      <alignment wrapText="1"/>
    </xf>
    <xf numFmtId="0" fontId="0" fillId="0" borderId="0" xfId="0" applyFill="1"/>
    <xf numFmtId="4" fontId="0" fillId="0" borderId="0" xfId="0" applyNumberFormat="1" applyFill="1"/>
    <xf numFmtId="4" fontId="11" fillId="0" borderId="0" xfId="0" applyNumberFormat="1" applyFont="1" applyFill="1" applyBorder="1" applyAlignment="1">
      <alignment horizontal="center"/>
    </xf>
    <xf numFmtId="4" fontId="19" fillId="0" borderId="3" xfId="0" applyNumberFormat="1" applyFont="1" applyBorder="1" applyAlignment="1">
      <alignment wrapText="1"/>
    </xf>
    <xf numFmtId="4" fontId="18" fillId="0" borderId="3" xfId="0" applyNumberFormat="1" applyFont="1" applyBorder="1" applyAlignment="1">
      <alignment wrapText="1"/>
    </xf>
    <xf numFmtId="4" fontId="18" fillId="0" borderId="3" xfId="0" applyNumberFormat="1" applyFont="1" applyFill="1" applyBorder="1" applyAlignment="1">
      <alignment wrapText="1"/>
    </xf>
    <xf numFmtId="4" fontId="18" fillId="0" borderId="4" xfId="0" applyNumberFormat="1" applyFont="1" applyBorder="1" applyAlignment="1">
      <alignment wrapText="1"/>
    </xf>
    <xf numFmtId="4" fontId="18" fillId="0" borderId="22" xfId="0" applyNumberFormat="1" applyFont="1" applyBorder="1" applyAlignment="1">
      <alignment wrapText="1"/>
    </xf>
    <xf numFmtId="4" fontId="18" fillId="0" borderId="0" xfId="0" applyNumberFormat="1" applyFont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Border="1" applyAlignment="1">
      <alignment horizontal="left"/>
    </xf>
    <xf numFmtId="0" fontId="23" fillId="0" borderId="3" xfId="0" applyFont="1" applyBorder="1" applyAlignment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/>
    <xf numFmtId="0" fontId="10" fillId="0" borderId="0" xfId="0" applyFont="1"/>
    <xf numFmtId="0" fontId="6" fillId="0" borderId="0" xfId="0" applyFont="1" applyFill="1" applyBorder="1" applyAlignment="1"/>
    <xf numFmtId="4" fontId="18" fillId="0" borderId="22" xfId="0" applyNumberFormat="1" applyFont="1" applyFill="1" applyBorder="1" applyAlignment="1">
      <alignment wrapText="1"/>
    </xf>
    <xf numFmtId="3" fontId="18" fillId="0" borderId="18" xfId="0" applyNumberFormat="1" applyFont="1" applyFill="1" applyBorder="1" applyAlignment="1">
      <alignment wrapText="1"/>
    </xf>
    <xf numFmtId="3" fontId="19" fillId="0" borderId="1" xfId="0" applyNumberFormat="1" applyFont="1" applyBorder="1" applyAlignment="1">
      <alignment wrapText="1"/>
    </xf>
    <xf numFmtId="0" fontId="19" fillId="0" borderId="17" xfId="0" applyFont="1" applyFill="1" applyBorder="1" applyAlignment="1">
      <alignment wrapText="1"/>
    </xf>
    <xf numFmtId="3" fontId="19" fillId="0" borderId="18" xfId="0" applyNumberFormat="1" applyFont="1" applyFill="1" applyBorder="1" applyAlignment="1">
      <alignment wrapText="1"/>
    </xf>
    <xf numFmtId="3" fontId="19" fillId="0" borderId="20" xfId="0" applyNumberFormat="1" applyFont="1" applyBorder="1" applyAlignment="1">
      <alignment wrapText="1"/>
    </xf>
    <xf numFmtId="3" fontId="19" fillId="0" borderId="22" xfId="0" applyNumberFormat="1" applyFont="1" applyFill="1" applyBorder="1" applyAlignment="1">
      <alignment wrapText="1"/>
    </xf>
    <xf numFmtId="3" fontId="4" fillId="3" borderId="3" xfId="0" applyNumberFormat="1" applyFont="1" applyFill="1" applyBorder="1" applyAlignment="1">
      <alignment horizontal="center" wrapText="1"/>
    </xf>
    <xf numFmtId="4" fontId="18" fillId="0" borderId="0" xfId="0" applyNumberFormat="1" applyFont="1" applyFill="1" applyBorder="1" applyAlignment="1">
      <alignment wrapText="1"/>
    </xf>
    <xf numFmtId="3" fontId="19" fillId="0" borderId="19" xfId="0" applyNumberFormat="1" applyFont="1" applyFill="1" applyBorder="1" applyAlignment="1">
      <alignment wrapText="1"/>
    </xf>
    <xf numFmtId="4" fontId="0" fillId="0" borderId="0" xfId="0" applyNumberFormat="1" applyFill="1" applyBorder="1"/>
    <xf numFmtId="9" fontId="4" fillId="3" borderId="3" xfId="1" applyFont="1" applyFill="1" applyBorder="1" applyAlignment="1">
      <alignment horizontal="center" wrapText="1"/>
    </xf>
    <xf numFmtId="3" fontId="19" fillId="6" borderId="20" xfId="46" applyNumberFormat="1" applyFont="1" applyFill="1" applyBorder="1" applyAlignment="1">
      <alignment wrapText="1"/>
    </xf>
    <xf numFmtId="3" fontId="19" fillId="0" borderId="22" xfId="46" applyNumberFormat="1" applyFont="1" applyFill="1" applyBorder="1" applyAlignment="1">
      <alignment wrapText="1"/>
    </xf>
    <xf numFmtId="0" fontId="6" fillId="0" borderId="1" xfId="0" applyFont="1" applyFill="1" applyBorder="1" applyAlignment="1"/>
    <xf numFmtId="0" fontId="19" fillId="6" borderId="2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 wrapText="1"/>
    </xf>
    <xf numFmtId="0" fontId="4" fillId="0" borderId="0" xfId="0" applyFont="1"/>
    <xf numFmtId="0" fontId="4" fillId="0" borderId="3" xfId="0" applyFont="1" applyFill="1" applyBorder="1" applyAlignment="1">
      <alignment wrapText="1"/>
    </xf>
    <xf numFmtId="0" fontId="19" fillId="8" borderId="3" xfId="0" applyFont="1" applyFill="1" applyBorder="1" applyAlignment="1">
      <alignment wrapText="1"/>
    </xf>
    <xf numFmtId="0" fontId="20" fillId="8" borderId="3" xfId="0" applyFont="1" applyFill="1" applyBorder="1" applyAlignment="1">
      <alignment wrapText="1"/>
    </xf>
    <xf numFmtId="0" fontId="20" fillId="8" borderId="3" xfId="0" applyFont="1" applyFill="1" applyBorder="1" applyAlignment="1">
      <alignment horizontal="right" wrapText="1"/>
    </xf>
    <xf numFmtId="3" fontId="20" fillId="8" borderId="3" xfId="0" applyNumberFormat="1" applyFont="1" applyFill="1" applyBorder="1" applyAlignment="1">
      <alignment horizontal="right" wrapText="1"/>
    </xf>
    <xf numFmtId="165" fontId="20" fillId="8" borderId="3" xfId="46" applyNumberFormat="1" applyFont="1" applyFill="1" applyBorder="1" applyAlignment="1">
      <alignment horizontal="right" wrapText="1"/>
    </xf>
    <xf numFmtId="4" fontId="20" fillId="8" borderId="3" xfId="0" applyNumberFormat="1" applyFont="1" applyFill="1" applyBorder="1" applyAlignment="1">
      <alignment horizontal="right" wrapText="1"/>
    </xf>
    <xf numFmtId="0" fontId="18" fillId="0" borderId="3" xfId="0" applyFont="1" applyBorder="1" applyAlignment="1">
      <alignment horizontal="right" wrapText="1"/>
    </xf>
    <xf numFmtId="0" fontId="18" fillId="0" borderId="3" xfId="0" applyFont="1" applyFill="1" applyBorder="1" applyAlignment="1">
      <alignment horizontal="right" wrapText="1"/>
    </xf>
    <xf numFmtId="0" fontId="18" fillId="6" borderId="3" xfId="0" applyFont="1" applyFill="1" applyBorder="1" applyAlignment="1">
      <alignment horizontal="right" wrapText="1"/>
    </xf>
    <xf numFmtId="3" fontId="4" fillId="0" borderId="21" xfId="0" applyNumberFormat="1" applyFont="1" applyFill="1" applyBorder="1" applyAlignment="1">
      <alignment wrapText="1"/>
    </xf>
    <xf numFmtId="0" fontId="4" fillId="0" borderId="0" xfId="0" applyFont="1" applyFill="1"/>
    <xf numFmtId="4" fontId="19" fillId="0" borderId="22" xfId="0" applyNumberFormat="1" applyFont="1" applyBorder="1" applyAlignment="1">
      <alignment wrapText="1"/>
    </xf>
    <xf numFmtId="4" fontId="19" fillId="6" borderId="22" xfId="46" applyNumberFormat="1" applyFont="1" applyFill="1" applyBorder="1" applyAlignment="1">
      <alignment wrapText="1"/>
    </xf>
    <xf numFmtId="3" fontId="19" fillId="6" borderId="22" xfId="46" applyNumberFormat="1" applyFont="1" applyFill="1" applyBorder="1" applyAlignment="1">
      <alignment wrapText="1"/>
    </xf>
    <xf numFmtId="3" fontId="4" fillId="0" borderId="4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3" fontId="4" fillId="0" borderId="18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4" fontId="18" fillId="0" borderId="21" xfId="0" applyNumberFormat="1" applyFont="1" applyBorder="1" applyAlignment="1">
      <alignment wrapText="1"/>
    </xf>
    <xf numFmtId="168" fontId="18" fillId="0" borderId="22" xfId="1" applyNumberFormat="1" applyFont="1" applyFill="1" applyBorder="1" applyAlignment="1">
      <alignment wrapText="1"/>
    </xf>
    <xf numFmtId="0" fontId="18" fillId="0" borderId="3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right"/>
    </xf>
    <xf numFmtId="0" fontId="18" fillId="0" borderId="3" xfId="0" applyFont="1" applyFill="1" applyBorder="1" applyAlignment="1"/>
    <xf numFmtId="0" fontId="0" fillId="0" borderId="0" xfId="0" applyAlignment="1">
      <alignment horizontal="left"/>
    </xf>
    <xf numFmtId="0" fontId="18" fillId="0" borderId="18" xfId="0" applyFont="1" applyFill="1" applyBorder="1" applyAlignment="1"/>
    <xf numFmtId="0" fontId="18" fillId="0" borderId="4" xfId="0" applyFont="1" applyFill="1" applyBorder="1" applyAlignment="1"/>
    <xf numFmtId="0" fontId="19" fillId="0" borderId="0" xfId="0" applyFont="1" applyFill="1" applyBorder="1" applyAlignment="1">
      <alignment wrapText="1"/>
    </xf>
    <xf numFmtId="0" fontId="6" fillId="0" borderId="2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0" xfId="0" applyFont="1" applyBorder="1"/>
    <xf numFmtId="0" fontId="0" fillId="0" borderId="0" xfId="0"/>
    <xf numFmtId="0" fontId="18" fillId="0" borderId="3" xfId="0" applyFont="1" applyFill="1" applyBorder="1" applyAlignment="1">
      <alignment wrapText="1"/>
    </xf>
    <xf numFmtId="3" fontId="18" fillId="0" borderId="3" xfId="0" applyNumberFormat="1" applyFont="1" applyBorder="1" applyAlignment="1">
      <alignment wrapText="1"/>
    </xf>
    <xf numFmtId="3" fontId="18" fillId="0" borderId="3" xfId="0" applyNumberFormat="1" applyFont="1" applyFill="1" applyBorder="1" applyAlignment="1">
      <alignment wrapText="1"/>
    </xf>
    <xf numFmtId="0" fontId="11" fillId="0" borderId="17" xfId="0" applyFont="1" applyFill="1" applyBorder="1" applyAlignment="1"/>
    <xf numFmtId="4" fontId="0" fillId="0" borderId="0" xfId="0" applyNumberFormat="1" applyFill="1"/>
    <xf numFmtId="4" fontId="18" fillId="0" borderId="3" xfId="0" applyNumberFormat="1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/>
    <xf numFmtId="3" fontId="4" fillId="3" borderId="3" xfId="0" applyNumberFormat="1" applyFont="1" applyFill="1" applyBorder="1" applyAlignment="1">
      <alignment wrapText="1"/>
    </xf>
    <xf numFmtId="0" fontId="6" fillId="0" borderId="1" xfId="0" applyFont="1" applyFill="1" applyBorder="1"/>
    <xf numFmtId="0" fontId="6" fillId="0" borderId="23" xfId="0" applyFont="1" applyFill="1" applyBorder="1"/>
    <xf numFmtId="3" fontId="4" fillId="0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8" fillId="0" borderId="3" xfId="0" applyFont="1" applyBorder="1" applyAlignment="1">
      <alignment horizontal="right" wrapText="1"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/>
    <xf numFmtId="0" fontId="0" fillId="0" borderId="0" xfId="0" applyAlignment="1"/>
    <xf numFmtId="0" fontId="11" fillId="0" borderId="17" xfId="0" applyFont="1" applyFill="1" applyBorder="1" applyAlignment="1">
      <alignment vertical="top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2" fillId="0" borderId="0" xfId="0" applyNumberFormat="1" applyFont="1" applyAlignment="1">
      <alignment horizontal="left"/>
    </xf>
    <xf numFmtId="9" fontId="2" fillId="0" borderId="0" xfId="1" applyFont="1" applyBorder="1" applyAlignment="1">
      <alignment horizontal="center"/>
    </xf>
    <xf numFmtId="0" fontId="0" fillId="6" borderId="0" xfId="0" applyFont="1" applyFill="1"/>
    <xf numFmtId="3" fontId="0" fillId="6" borderId="0" xfId="0" applyNumberFormat="1" applyFont="1" applyFill="1" applyBorder="1"/>
    <xf numFmtId="9" fontId="4" fillId="6" borderId="0" xfId="1" applyFont="1" applyFill="1" applyBorder="1"/>
    <xf numFmtId="0" fontId="0" fillId="6" borderId="0" xfId="0" applyFont="1" applyFill="1" applyBorder="1"/>
    <xf numFmtId="0" fontId="20" fillId="0" borderId="3" xfId="0" applyFont="1" applyFill="1" applyBorder="1" applyAlignment="1">
      <alignment horizontal="right" wrapText="1"/>
    </xf>
    <xf numFmtId="0" fontId="20" fillId="0" borderId="3" xfId="0" applyFont="1" applyFill="1" applyBorder="1" applyAlignment="1">
      <alignment wrapText="1"/>
    </xf>
    <xf numFmtId="3" fontId="20" fillId="0" borderId="3" xfId="0" applyNumberFormat="1" applyFont="1" applyFill="1" applyBorder="1" applyAlignment="1">
      <alignment horizontal="right" wrapText="1"/>
    </xf>
    <xf numFmtId="165" fontId="20" fillId="0" borderId="3" xfId="46" applyNumberFormat="1" applyFont="1" applyFill="1" applyBorder="1" applyAlignment="1">
      <alignment horizontal="right" wrapText="1"/>
    </xf>
    <xf numFmtId="4" fontId="20" fillId="0" borderId="3" xfId="0" applyNumberFormat="1" applyFont="1" applyFill="1" applyBorder="1" applyAlignment="1">
      <alignment horizontal="right" wrapText="1"/>
    </xf>
    <xf numFmtId="3" fontId="20" fillId="0" borderId="0" xfId="0" applyNumberFormat="1" applyFont="1" applyFill="1" applyBorder="1" applyAlignment="1">
      <alignment horizontal="right" wrapText="1"/>
    </xf>
    <xf numFmtId="0" fontId="2" fillId="0" borderId="22" xfId="0" applyFont="1" applyFill="1" applyBorder="1" applyAlignment="1">
      <alignment wrapText="1"/>
    </xf>
    <xf numFmtId="0" fontId="4" fillId="0" borderId="21" xfId="0" applyFont="1" applyFill="1" applyBorder="1" applyAlignment="1">
      <alignment horizontal="right" vertical="top"/>
    </xf>
    <xf numFmtId="0" fontId="4" fillId="0" borderId="21" xfId="0" applyFont="1" applyFill="1" applyBorder="1" applyAlignment="1">
      <alignment horizontal="right"/>
    </xf>
    <xf numFmtId="0" fontId="7" fillId="10" borderId="0" xfId="0" applyFont="1" applyFill="1" applyBorder="1" applyAlignment="1"/>
    <xf numFmtId="0" fontId="3" fillId="10" borderId="0" xfId="0" applyFont="1" applyFill="1" applyBorder="1" applyAlignment="1"/>
    <xf numFmtId="0" fontId="3" fillId="11" borderId="0" xfId="0" applyFont="1" applyFill="1" applyBorder="1" applyAlignment="1"/>
    <xf numFmtId="0" fontId="19" fillId="11" borderId="3" xfId="0" applyFont="1" applyFill="1" applyBorder="1" applyAlignment="1">
      <alignment wrapText="1"/>
    </xf>
    <xf numFmtId="0" fontId="20" fillId="11" borderId="3" xfId="0" applyFont="1" applyFill="1" applyBorder="1" applyAlignment="1">
      <alignment horizontal="right" wrapText="1"/>
    </xf>
    <xf numFmtId="0" fontId="20" fillId="11" borderId="3" xfId="0" applyFont="1" applyFill="1" applyBorder="1" applyAlignment="1">
      <alignment wrapText="1"/>
    </xf>
    <xf numFmtId="3" fontId="20" fillId="11" borderId="3" xfId="0" applyNumberFormat="1" applyFont="1" applyFill="1" applyBorder="1" applyAlignment="1">
      <alignment horizontal="right" wrapText="1"/>
    </xf>
    <xf numFmtId="165" fontId="20" fillId="11" borderId="3" xfId="46" applyNumberFormat="1" applyFont="1" applyFill="1" applyBorder="1" applyAlignment="1">
      <alignment horizontal="right" wrapText="1"/>
    </xf>
    <xf numFmtId="4" fontId="20" fillId="11" borderId="3" xfId="0" applyNumberFormat="1" applyFont="1" applyFill="1" applyBorder="1" applyAlignment="1">
      <alignment horizontal="right" wrapText="1"/>
    </xf>
    <xf numFmtId="0" fontId="19" fillId="10" borderId="3" xfId="0" applyFont="1" applyFill="1" applyBorder="1" applyAlignment="1">
      <alignment wrapText="1"/>
    </xf>
    <xf numFmtId="0" fontId="20" fillId="10" borderId="3" xfId="0" applyFont="1" applyFill="1" applyBorder="1" applyAlignment="1">
      <alignment horizontal="right" wrapText="1"/>
    </xf>
    <xf numFmtId="0" fontId="20" fillId="10" borderId="3" xfId="0" applyFont="1" applyFill="1" applyBorder="1" applyAlignment="1">
      <alignment wrapText="1"/>
    </xf>
    <xf numFmtId="3" fontId="20" fillId="10" borderId="3" xfId="0" applyNumberFormat="1" applyFont="1" applyFill="1" applyBorder="1" applyAlignment="1">
      <alignment horizontal="right" wrapText="1"/>
    </xf>
    <xf numFmtId="165" fontId="20" fillId="10" borderId="3" xfId="46" applyNumberFormat="1" applyFont="1" applyFill="1" applyBorder="1" applyAlignment="1">
      <alignment horizontal="right" wrapText="1"/>
    </xf>
    <xf numFmtId="4" fontId="20" fillId="10" borderId="3" xfId="0" applyNumberFormat="1" applyFont="1" applyFill="1" applyBorder="1" applyAlignment="1">
      <alignment horizontal="right" wrapText="1"/>
    </xf>
    <xf numFmtId="3" fontId="18" fillId="6" borderId="3" xfId="0" applyNumberFormat="1" applyFont="1" applyFill="1" applyBorder="1" applyAlignment="1">
      <alignment wrapText="1"/>
    </xf>
    <xf numFmtId="165" fontId="19" fillId="0" borderId="3" xfId="46" applyNumberFormat="1" applyFont="1" applyFill="1" applyBorder="1" applyAlignment="1">
      <alignment horizontal="right" wrapText="1"/>
    </xf>
    <xf numFmtId="165" fontId="20" fillId="0" borderId="19" xfId="46" applyNumberFormat="1" applyFont="1" applyFill="1" applyBorder="1" applyAlignment="1">
      <alignment horizontal="right" wrapText="1"/>
    </xf>
    <xf numFmtId="3" fontId="20" fillId="0" borderId="19" xfId="0" applyNumberFormat="1" applyFont="1" applyFill="1" applyBorder="1" applyAlignment="1">
      <alignment horizontal="right" wrapText="1"/>
    </xf>
    <xf numFmtId="165" fontId="20" fillId="0" borderId="4" xfId="46" applyNumberFormat="1" applyFont="1" applyFill="1" applyBorder="1" applyAlignment="1">
      <alignment horizontal="right" wrapText="1"/>
    </xf>
    <xf numFmtId="3" fontId="20" fillId="0" borderId="4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/>
    <xf numFmtId="0" fontId="2" fillId="12" borderId="0" xfId="0" applyFont="1" applyFill="1" applyBorder="1"/>
    <xf numFmtId="0" fontId="0" fillId="12" borderId="0" xfId="0" applyFill="1" applyBorder="1"/>
    <xf numFmtId="4" fontId="0" fillId="12" borderId="0" xfId="0" applyNumberFormat="1" applyFill="1" applyBorder="1"/>
    <xf numFmtId="4" fontId="19" fillId="0" borderId="25" xfId="0" applyNumberFormat="1" applyFont="1" applyBorder="1" applyAlignment="1">
      <alignment wrapText="1"/>
    </xf>
    <xf numFmtId="168" fontId="18" fillId="0" borderId="0" xfId="1" applyNumberFormat="1" applyFont="1" applyFill="1" applyBorder="1" applyAlignment="1">
      <alignment wrapText="1"/>
    </xf>
    <xf numFmtId="168" fontId="18" fillId="0" borderId="1" xfId="1" applyNumberFormat="1" applyFont="1" applyFill="1" applyBorder="1" applyAlignment="1">
      <alignment wrapText="1"/>
    </xf>
    <xf numFmtId="168" fontId="18" fillId="0" borderId="20" xfId="1" applyNumberFormat="1" applyFont="1" applyFill="1" applyBorder="1" applyAlignment="1">
      <alignment wrapText="1"/>
    </xf>
    <xf numFmtId="168" fontId="18" fillId="6" borderId="20" xfId="1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/>
    <xf numFmtId="0" fontId="18" fillId="10" borderId="3" xfId="0" applyFont="1" applyFill="1" applyBorder="1" applyAlignment="1">
      <alignment horizontal="right" wrapText="1"/>
    </xf>
    <xf numFmtId="0" fontId="18" fillId="10" borderId="3" xfId="0" applyFont="1" applyFill="1" applyBorder="1" applyAlignment="1">
      <alignment wrapText="1"/>
    </xf>
    <xf numFmtId="3" fontId="4" fillId="10" borderId="3" xfId="0" applyNumberFormat="1" applyFont="1" applyFill="1" applyBorder="1" applyAlignment="1">
      <alignment wrapText="1"/>
    </xf>
    <xf numFmtId="0" fontId="4" fillId="10" borderId="3" xfId="0" applyFont="1" applyFill="1" applyBorder="1" applyAlignment="1">
      <alignment wrapText="1"/>
    </xf>
    <xf numFmtId="3" fontId="18" fillId="10" borderId="4" xfId="0" applyNumberFormat="1" applyFont="1" applyFill="1" applyBorder="1" applyAlignment="1">
      <alignment wrapText="1"/>
    </xf>
    <xf numFmtId="4" fontId="18" fillId="10" borderId="4" xfId="0" applyNumberFormat="1" applyFont="1" applyFill="1" applyBorder="1" applyAlignment="1">
      <alignment wrapText="1"/>
    </xf>
    <xf numFmtId="0" fontId="6" fillId="13" borderId="0" xfId="0" applyFont="1" applyFill="1" applyBorder="1" applyAlignment="1"/>
    <xf numFmtId="0" fontId="19" fillId="13" borderId="18" xfId="0" applyFont="1" applyFill="1" applyBorder="1" applyAlignment="1">
      <alignment wrapText="1"/>
    </xf>
    <xf numFmtId="0" fontId="18" fillId="13" borderId="3" xfId="0" applyFont="1" applyFill="1" applyBorder="1" applyAlignment="1">
      <alignment horizontal="right" wrapText="1"/>
    </xf>
    <xf numFmtId="0" fontId="18" fillId="13" borderId="3" xfId="0" applyFont="1" applyFill="1" applyBorder="1" applyAlignment="1">
      <alignment wrapText="1"/>
    </xf>
    <xf numFmtId="3" fontId="18" fillId="13" borderId="3" xfId="0" applyNumberFormat="1" applyFont="1" applyFill="1" applyBorder="1" applyAlignment="1">
      <alignment wrapText="1"/>
    </xf>
    <xf numFmtId="4" fontId="18" fillId="13" borderId="3" xfId="0" applyNumberFormat="1" applyFont="1" applyFill="1" applyBorder="1" applyAlignment="1">
      <alignment wrapText="1"/>
    </xf>
    <xf numFmtId="0" fontId="4" fillId="13" borderId="3" xfId="0" applyFont="1" applyFill="1" applyBorder="1" applyAlignment="1">
      <alignment wrapText="1"/>
    </xf>
    <xf numFmtId="3" fontId="4" fillId="13" borderId="3" xfId="0" applyNumberFormat="1" applyFont="1" applyFill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20" fillId="0" borderId="19" xfId="0" applyFont="1" applyFill="1" applyBorder="1" applyAlignment="1">
      <alignment horizontal="right" wrapText="1"/>
    </xf>
    <xf numFmtId="4" fontId="20" fillId="0" borderId="19" xfId="0" applyNumberFormat="1" applyFont="1" applyFill="1" applyBorder="1" applyAlignment="1">
      <alignment horizontal="right" wrapText="1"/>
    </xf>
    <xf numFmtId="0" fontId="19" fillId="0" borderId="4" xfId="0" applyFont="1" applyFill="1" applyBorder="1" applyAlignment="1">
      <alignment wrapText="1"/>
    </xf>
    <xf numFmtId="0" fontId="18" fillId="0" borderId="4" xfId="0" applyFont="1" applyFill="1" applyBorder="1" applyAlignment="1">
      <alignment horizontal="right" wrapText="1"/>
    </xf>
    <xf numFmtId="0" fontId="18" fillId="0" borderId="4" xfId="0" applyFont="1" applyFill="1" applyBorder="1" applyAlignment="1">
      <alignment wrapText="1"/>
    </xf>
    <xf numFmtId="4" fontId="18" fillId="0" borderId="4" xfId="0" applyNumberFormat="1" applyFont="1" applyFill="1" applyBorder="1" applyAlignment="1">
      <alignment wrapText="1"/>
    </xf>
    <xf numFmtId="0" fontId="19" fillId="5" borderId="26" xfId="0" applyFont="1" applyFill="1" applyBorder="1" applyAlignment="1">
      <alignment wrapText="1"/>
    </xf>
    <xf numFmtId="0" fontId="19" fillId="5" borderId="5" xfId="0" applyFont="1" applyFill="1" applyBorder="1" applyAlignment="1">
      <alignment wrapText="1"/>
    </xf>
    <xf numFmtId="0" fontId="18" fillId="5" borderId="5" xfId="0" applyFont="1" applyFill="1" applyBorder="1" applyAlignment="1">
      <alignment horizontal="right" wrapText="1"/>
    </xf>
    <xf numFmtId="0" fontId="18" fillId="5" borderId="5" xfId="0" applyFont="1" applyFill="1" applyBorder="1" applyAlignment="1">
      <alignment wrapText="1"/>
    </xf>
    <xf numFmtId="4" fontId="18" fillId="5" borderId="5" xfId="0" applyNumberFormat="1" applyFont="1" applyFill="1" applyBorder="1" applyAlignment="1">
      <alignment wrapText="1"/>
    </xf>
    <xf numFmtId="165" fontId="20" fillId="0" borderId="22" xfId="46" applyNumberFormat="1" applyFont="1" applyFill="1" applyBorder="1" applyAlignment="1">
      <alignment horizontal="right" wrapText="1"/>
    </xf>
    <xf numFmtId="3" fontId="20" fillId="0" borderId="22" xfId="0" applyNumberFormat="1" applyFont="1" applyFill="1" applyBorder="1" applyAlignment="1">
      <alignment horizontal="right" wrapText="1"/>
    </xf>
    <xf numFmtId="0" fontId="20" fillId="0" borderId="4" xfId="0" applyFont="1" applyFill="1" applyBorder="1" applyAlignment="1">
      <alignment horizontal="right" wrapText="1"/>
    </xf>
    <xf numFmtId="0" fontId="20" fillId="0" borderId="4" xfId="0" applyFont="1" applyFill="1" applyBorder="1" applyAlignment="1">
      <alignment wrapText="1"/>
    </xf>
    <xf numFmtId="4" fontId="20" fillId="0" borderId="4" xfId="0" applyNumberFormat="1" applyFont="1" applyFill="1" applyBorder="1" applyAlignment="1">
      <alignment horizontal="right" wrapText="1"/>
    </xf>
    <xf numFmtId="0" fontId="19" fillId="12" borderId="26" xfId="0" applyFont="1" applyFill="1" applyBorder="1" applyAlignment="1">
      <alignment wrapText="1"/>
    </xf>
    <xf numFmtId="0" fontId="19" fillId="12" borderId="5" xfId="0" applyFont="1" applyFill="1" applyBorder="1" applyAlignment="1">
      <alignment wrapText="1"/>
    </xf>
    <xf numFmtId="0" fontId="18" fillId="12" borderId="5" xfId="0" applyFont="1" applyFill="1" applyBorder="1" applyAlignment="1">
      <alignment horizontal="right" wrapText="1"/>
    </xf>
    <xf numFmtId="0" fontId="18" fillId="12" borderId="5" xfId="0" applyFont="1" applyFill="1" applyBorder="1" applyAlignment="1">
      <alignment wrapText="1"/>
    </xf>
    <xf numFmtId="4" fontId="18" fillId="12" borderId="5" xfId="0" applyNumberFormat="1" applyFont="1" applyFill="1" applyBorder="1" applyAlignment="1">
      <alignment wrapText="1"/>
    </xf>
    <xf numFmtId="4" fontId="20" fillId="0" borderId="22" xfId="0" applyNumberFormat="1" applyFont="1" applyFill="1" applyBorder="1" applyAlignment="1">
      <alignment horizontal="right" wrapText="1"/>
    </xf>
    <xf numFmtId="168" fontId="19" fillId="0" borderId="20" xfId="1" applyNumberFormat="1" applyFont="1" applyFill="1" applyBorder="1" applyAlignment="1">
      <alignment wrapText="1"/>
    </xf>
    <xf numFmtId="168" fontId="19" fillId="0" borderId="1" xfId="1" applyNumberFormat="1" applyFont="1" applyFill="1" applyBorder="1" applyAlignment="1">
      <alignment wrapText="1"/>
    </xf>
    <xf numFmtId="168" fontId="19" fillId="6" borderId="20" xfId="1" applyNumberFormat="1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6" fillId="0" borderId="0" xfId="0" applyFont="1" applyFill="1" applyBorder="1"/>
    <xf numFmtId="168" fontId="19" fillId="0" borderId="0" xfId="1" applyNumberFormat="1" applyFont="1" applyFill="1" applyBorder="1" applyAlignment="1">
      <alignment wrapText="1"/>
    </xf>
    <xf numFmtId="3" fontId="19" fillId="9" borderId="22" xfId="0" applyNumberFormat="1" applyFont="1" applyFill="1" applyBorder="1" applyAlignment="1">
      <alignment wrapText="1"/>
    </xf>
    <xf numFmtId="3" fontId="19" fillId="0" borderId="3" xfId="0" applyNumberFormat="1" applyFont="1" applyFill="1" applyBorder="1" applyAlignment="1">
      <alignment wrapText="1"/>
    </xf>
    <xf numFmtId="3" fontId="19" fillId="4" borderId="22" xfId="0" applyNumberFormat="1" applyFont="1" applyFill="1" applyBorder="1" applyAlignment="1">
      <alignment wrapText="1"/>
    </xf>
    <xf numFmtId="0" fontId="19" fillId="0" borderId="22" xfId="0" applyFont="1" applyFill="1" applyBorder="1" applyAlignment="1">
      <alignment wrapText="1"/>
    </xf>
    <xf numFmtId="4" fontId="19" fillId="0" borderId="19" xfId="0" applyNumberFormat="1" applyFont="1" applyBorder="1" applyAlignment="1">
      <alignment wrapText="1"/>
    </xf>
    <xf numFmtId="3" fontId="19" fillId="0" borderId="20" xfId="0" applyNumberFormat="1" applyFont="1" applyFill="1" applyBorder="1" applyAlignment="1">
      <alignment wrapText="1"/>
    </xf>
    <xf numFmtId="4" fontId="19" fillId="0" borderId="22" xfId="0" applyNumberFormat="1" applyFont="1" applyFill="1" applyBorder="1" applyAlignment="1">
      <alignment wrapText="1"/>
    </xf>
    <xf numFmtId="4" fontId="2" fillId="0" borderId="0" xfId="0" applyNumberFormat="1" applyFont="1" applyFill="1" applyBorder="1"/>
    <xf numFmtId="168" fontId="19" fillId="12" borderId="1" xfId="1" applyNumberFormat="1" applyFont="1" applyFill="1" applyBorder="1" applyAlignment="1">
      <alignment wrapText="1"/>
    </xf>
    <xf numFmtId="3" fontId="11" fillId="7" borderId="24" xfId="0" applyNumberFormat="1" applyFont="1" applyFill="1" applyBorder="1" applyAlignment="1">
      <alignment horizontal="center"/>
    </xf>
    <xf numFmtId="0" fontId="0" fillId="0" borderId="29" xfId="0" applyBorder="1"/>
    <xf numFmtId="3" fontId="19" fillId="0" borderId="22" xfId="0" applyNumberFormat="1" applyFont="1" applyBorder="1" applyAlignment="1">
      <alignment wrapText="1"/>
    </xf>
    <xf numFmtId="0" fontId="3" fillId="0" borderId="0" xfId="0" applyFont="1" applyFill="1" applyBorder="1" applyAlignment="1"/>
    <xf numFmtId="4" fontId="20" fillId="8" borderId="3" xfId="0" applyNumberFormat="1" applyFont="1" applyFill="1" applyBorder="1" applyAlignment="1">
      <alignment horizontal="center" wrapText="1"/>
    </xf>
    <xf numFmtId="169" fontId="4" fillId="0" borderId="3" xfId="0" applyNumberFormat="1" applyFont="1" applyFill="1" applyBorder="1" applyAlignment="1">
      <alignment wrapText="1"/>
    </xf>
    <xf numFmtId="0" fontId="10" fillId="2" borderId="0" xfId="0" applyFont="1" applyFill="1" applyBorder="1"/>
    <xf numFmtId="0" fontId="26" fillId="0" borderId="30" xfId="0" applyFont="1" applyBorder="1" applyAlignment="1">
      <alignment horizontal="center" wrapText="1"/>
    </xf>
    <xf numFmtId="0" fontId="26" fillId="0" borderId="29" xfId="0" applyFont="1" applyBorder="1" applyAlignment="1">
      <alignment horizontal="center" wrapText="1"/>
    </xf>
    <xf numFmtId="0" fontId="26" fillId="0" borderId="31" xfId="0" applyFont="1" applyBorder="1" applyAlignment="1">
      <alignment horizontal="center" wrapText="1"/>
    </xf>
    <xf numFmtId="0" fontId="26" fillId="0" borderId="33" xfId="0" applyFont="1" applyBorder="1" applyAlignment="1">
      <alignment horizontal="center" wrapText="1"/>
    </xf>
    <xf numFmtId="0" fontId="26" fillId="0" borderId="34" xfId="0" applyFont="1" applyBorder="1" applyAlignment="1">
      <alignment horizontal="center" wrapText="1"/>
    </xf>
    <xf numFmtId="0" fontId="0" fillId="10" borderId="0" xfId="0" applyFont="1" applyFill="1"/>
    <xf numFmtId="0" fontId="0" fillId="10" borderId="0" xfId="0" applyFont="1" applyFill="1" applyBorder="1"/>
    <xf numFmtId="3" fontId="0" fillId="10" borderId="0" xfId="0" applyNumberFormat="1" applyFont="1" applyFill="1" applyBorder="1"/>
    <xf numFmtId="173" fontId="2" fillId="12" borderId="1" xfId="0" applyNumberFormat="1" applyFont="1" applyFill="1" applyBorder="1"/>
    <xf numFmtId="0" fontId="2" fillId="0" borderId="12" xfId="0" applyFont="1" applyBorder="1"/>
    <xf numFmtId="0" fontId="18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3" fontId="18" fillId="0" borderId="3" xfId="0" applyNumberFormat="1" applyFont="1" applyBorder="1" applyAlignment="1">
      <alignment wrapText="1"/>
    </xf>
    <xf numFmtId="3" fontId="18" fillId="0" borderId="3" xfId="0" applyNumberFormat="1" applyFont="1" applyFill="1" applyBorder="1" applyAlignment="1">
      <alignment wrapText="1"/>
    </xf>
    <xf numFmtId="3" fontId="4" fillId="3" borderId="3" xfId="0" applyNumberFormat="1" applyFont="1" applyFill="1" applyBorder="1" applyAlignment="1">
      <alignment wrapText="1"/>
    </xf>
    <xf numFmtId="3" fontId="4" fillId="0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8" fillId="0" borderId="3" xfId="0" applyFont="1" applyFill="1" applyBorder="1" applyAlignment="1">
      <alignment horizontal="right" wrapText="1"/>
    </xf>
    <xf numFmtId="0" fontId="10" fillId="0" borderId="0" xfId="0" applyFont="1" applyFill="1" applyBorder="1"/>
    <xf numFmtId="168" fontId="18" fillId="0" borderId="0" xfId="1" applyNumberFormat="1" applyFont="1" applyFill="1" applyBorder="1" applyAlignment="1">
      <alignment wrapText="1"/>
    </xf>
    <xf numFmtId="169" fontId="4" fillId="0" borderId="3" xfId="0" applyNumberFormat="1" applyFont="1" applyFill="1" applyBorder="1" applyAlignment="1">
      <alignment wrapText="1"/>
    </xf>
    <xf numFmtId="9" fontId="4" fillId="10" borderId="0" xfId="1" applyFont="1" applyFill="1" applyBorder="1"/>
    <xf numFmtId="172" fontId="0" fillId="0" borderId="0" xfId="0" applyNumberFormat="1"/>
    <xf numFmtId="172" fontId="0" fillId="0" borderId="0" xfId="0" applyNumberFormat="1" applyFill="1"/>
    <xf numFmtId="172" fontId="11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left"/>
    </xf>
    <xf numFmtId="172" fontId="20" fillId="8" borderId="3" xfId="0" applyNumberFormat="1" applyFont="1" applyFill="1" applyBorder="1" applyAlignment="1">
      <alignment horizontal="right" wrapText="1"/>
    </xf>
    <xf numFmtId="172" fontId="20" fillId="0" borderId="19" xfId="0" applyNumberFormat="1" applyFont="1" applyFill="1" applyBorder="1" applyAlignment="1">
      <alignment horizontal="right" wrapText="1"/>
    </xf>
    <xf numFmtId="172" fontId="18" fillId="5" borderId="5" xfId="0" applyNumberFormat="1" applyFont="1" applyFill="1" applyBorder="1" applyAlignment="1">
      <alignment wrapText="1"/>
    </xf>
    <xf numFmtId="172" fontId="20" fillId="0" borderId="4" xfId="0" applyNumberFormat="1" applyFont="1" applyFill="1" applyBorder="1" applyAlignment="1">
      <alignment horizontal="right" wrapText="1"/>
    </xf>
    <xf numFmtId="172" fontId="18" fillId="0" borderId="3" xfId="0" applyNumberFormat="1" applyFont="1" applyBorder="1" applyAlignment="1">
      <alignment wrapText="1"/>
    </xf>
    <xf numFmtId="172" fontId="19" fillId="0" borderId="20" xfId="0" applyNumberFormat="1" applyFont="1" applyBorder="1" applyAlignment="1">
      <alignment wrapText="1"/>
    </xf>
    <xf numFmtId="172" fontId="20" fillId="11" borderId="3" xfId="0" applyNumberFormat="1" applyFont="1" applyFill="1" applyBorder="1" applyAlignment="1">
      <alignment horizontal="right" wrapText="1"/>
    </xf>
    <xf numFmtId="172" fontId="20" fillId="0" borderId="3" xfId="0" applyNumberFormat="1" applyFont="1" applyFill="1" applyBorder="1" applyAlignment="1">
      <alignment horizontal="right" wrapText="1"/>
    </xf>
    <xf numFmtId="172" fontId="20" fillId="10" borderId="3" xfId="0" applyNumberFormat="1" applyFont="1" applyFill="1" applyBorder="1" applyAlignment="1">
      <alignment horizontal="right" wrapText="1"/>
    </xf>
    <xf numFmtId="172" fontId="20" fillId="0" borderId="22" xfId="0" applyNumberFormat="1" applyFont="1" applyFill="1" applyBorder="1" applyAlignment="1">
      <alignment horizontal="right" wrapText="1"/>
    </xf>
    <xf numFmtId="172" fontId="18" fillId="0" borderId="22" xfId="0" applyNumberFormat="1" applyFont="1" applyBorder="1" applyAlignment="1">
      <alignment wrapText="1"/>
    </xf>
    <xf numFmtId="172" fontId="19" fillId="0" borderId="22" xfId="0" applyNumberFormat="1" applyFont="1" applyBorder="1" applyAlignment="1">
      <alignment wrapText="1"/>
    </xf>
    <xf numFmtId="172" fontId="18" fillId="0" borderId="4" xfId="0" applyNumberFormat="1" applyFont="1" applyBorder="1" applyAlignment="1">
      <alignment wrapText="1"/>
    </xf>
    <xf numFmtId="172" fontId="18" fillId="10" borderId="4" xfId="0" applyNumberFormat="1" applyFont="1" applyFill="1" applyBorder="1" applyAlignment="1">
      <alignment wrapText="1"/>
    </xf>
    <xf numFmtId="172" fontId="19" fillId="0" borderId="1" xfId="0" applyNumberFormat="1" applyFont="1" applyBorder="1" applyAlignment="1">
      <alignment wrapText="1"/>
    </xf>
    <xf numFmtId="172" fontId="18" fillId="0" borderId="22" xfId="0" applyNumberFormat="1" applyFont="1" applyFill="1" applyBorder="1" applyAlignment="1">
      <alignment wrapText="1"/>
    </xf>
    <xf numFmtId="172" fontId="18" fillId="0" borderId="3" xfId="0" applyNumberFormat="1" applyFont="1" applyFill="1" applyBorder="1" applyAlignment="1">
      <alignment wrapText="1"/>
    </xf>
    <xf numFmtId="172" fontId="18" fillId="0" borderId="4" xfId="0" applyNumberFormat="1" applyFont="1" applyFill="1" applyBorder="1" applyAlignment="1">
      <alignment wrapText="1"/>
    </xf>
    <xf numFmtId="172" fontId="18" fillId="13" borderId="3" xfId="0" applyNumberFormat="1" applyFont="1" applyFill="1" applyBorder="1" applyAlignment="1">
      <alignment wrapText="1"/>
    </xf>
    <xf numFmtId="172" fontId="18" fillId="0" borderId="0" xfId="0" applyNumberFormat="1" applyFont="1" applyBorder="1" applyAlignment="1">
      <alignment wrapText="1"/>
    </xf>
    <xf numFmtId="172" fontId="19" fillId="0" borderId="3" xfId="0" applyNumberFormat="1" applyFont="1" applyBorder="1" applyAlignment="1">
      <alignment wrapText="1"/>
    </xf>
    <xf numFmtId="172" fontId="19" fillId="0" borderId="19" xfId="0" applyNumberFormat="1" applyFont="1" applyBorder="1" applyAlignment="1">
      <alignment wrapText="1"/>
    </xf>
    <xf numFmtId="172" fontId="19" fillId="0" borderId="22" xfId="0" applyNumberFormat="1" applyFont="1" applyFill="1" applyBorder="1" applyAlignment="1">
      <alignment wrapText="1"/>
    </xf>
    <xf numFmtId="172" fontId="18" fillId="0" borderId="0" xfId="0" applyNumberFormat="1" applyFont="1" applyFill="1" applyBorder="1" applyAlignment="1">
      <alignment wrapText="1"/>
    </xf>
    <xf numFmtId="172" fontId="19" fillId="6" borderId="20" xfId="0" applyNumberFormat="1" applyFont="1" applyFill="1" applyBorder="1" applyAlignment="1">
      <alignment wrapText="1"/>
    </xf>
    <xf numFmtId="172" fontId="0" fillId="0" borderId="0" xfId="0" applyNumberFormat="1" applyFill="1" applyBorder="1"/>
    <xf numFmtId="172" fontId="19" fillId="0" borderId="20" xfId="0" applyNumberFormat="1" applyFont="1" applyFill="1" applyBorder="1" applyAlignment="1">
      <alignment wrapText="1"/>
    </xf>
    <xf numFmtId="172" fontId="19" fillId="12" borderId="20" xfId="0" applyNumberFormat="1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13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4" fontId="0" fillId="0" borderId="0" xfId="0" applyNumberFormat="1" applyFont="1" applyBorder="1"/>
    <xf numFmtId="3" fontId="2" fillId="3" borderId="0" xfId="0" applyNumberFormat="1" applyFont="1" applyFill="1" applyBorder="1"/>
    <xf numFmtId="4" fontId="0" fillId="0" borderId="13" xfId="0" applyNumberFormat="1" applyFont="1" applyBorder="1"/>
    <xf numFmtId="4" fontId="0" fillId="0" borderId="0" xfId="0" applyNumberFormat="1" applyFont="1"/>
    <xf numFmtId="3" fontId="2" fillId="3" borderId="0" xfId="0" applyNumberFormat="1" applyFont="1" applyFill="1"/>
    <xf numFmtId="166" fontId="2" fillId="0" borderId="0" xfId="0" applyNumberFormat="1" applyFont="1"/>
    <xf numFmtId="167" fontId="2" fillId="0" borderId="0" xfId="0" applyNumberFormat="1" applyFont="1"/>
    <xf numFmtId="0" fontId="2" fillId="0" borderId="5" xfId="0" applyFont="1" applyFill="1" applyBorder="1" applyAlignment="1">
      <alignment wrapText="1"/>
    </xf>
    <xf numFmtId="3" fontId="2" fillId="0" borderId="14" xfId="0" applyNumberFormat="1" applyFont="1" applyBorder="1"/>
    <xf numFmtId="3" fontId="2" fillId="0" borderId="1" xfId="0" applyNumberFormat="1" applyFont="1" applyBorder="1"/>
    <xf numFmtId="4" fontId="2" fillId="0" borderId="15" xfId="0" applyNumberFormat="1" applyFont="1" applyBorder="1"/>
    <xf numFmtId="2" fontId="2" fillId="0" borderId="1" xfId="0" applyNumberFormat="1" applyFont="1" applyBorder="1"/>
    <xf numFmtId="166" fontId="2" fillId="0" borderId="1" xfId="0" applyNumberFormat="1" applyFont="1" applyBorder="1"/>
    <xf numFmtId="167" fontId="2" fillId="0" borderId="1" xfId="0" applyNumberFormat="1" applyFont="1" applyBorder="1"/>
    <xf numFmtId="0" fontId="2" fillId="0" borderId="4" xfId="0" applyFont="1" applyFill="1" applyBorder="1" applyAlignment="1">
      <alignment wrapText="1"/>
    </xf>
    <xf numFmtId="4" fontId="2" fillId="0" borderId="12" xfId="0" applyNumberFormat="1" applyFont="1" applyBorder="1"/>
    <xf numFmtId="9" fontId="2" fillId="0" borderId="0" xfId="1" applyFont="1" applyBorder="1"/>
    <xf numFmtId="0" fontId="3" fillId="0" borderId="3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" fillId="10" borderId="5" xfId="0" applyFont="1" applyFill="1" applyBorder="1" applyAlignment="1">
      <alignment wrapText="1"/>
    </xf>
    <xf numFmtId="3" fontId="2" fillId="10" borderId="14" xfId="0" applyNumberFormat="1" applyFont="1" applyFill="1" applyBorder="1"/>
    <xf numFmtId="3" fontId="2" fillId="10" borderId="1" xfId="0" applyNumberFormat="1" applyFont="1" applyFill="1" applyBorder="1"/>
    <xf numFmtId="3" fontId="2" fillId="10" borderId="0" xfId="0" applyNumberFormat="1" applyFont="1" applyFill="1" applyBorder="1"/>
    <xf numFmtId="4" fontId="2" fillId="10" borderId="15" xfId="0" applyNumberFormat="1" applyFont="1" applyFill="1" applyBorder="1"/>
    <xf numFmtId="4" fontId="2" fillId="10" borderId="0" xfId="0" applyNumberFormat="1" applyFont="1" applyFill="1" applyBorder="1"/>
    <xf numFmtId="3" fontId="2" fillId="10" borderId="1" xfId="0" applyNumberFormat="1" applyFont="1" applyFill="1" applyBorder="1" applyAlignment="1">
      <alignment horizontal="right"/>
    </xf>
    <xf numFmtId="3" fontId="2" fillId="10" borderId="0" xfId="0" applyNumberFormat="1" applyFont="1" applyFill="1" applyBorder="1" applyAlignment="1">
      <alignment horizontal="right"/>
    </xf>
    <xf numFmtId="2" fontId="2" fillId="10" borderId="1" xfId="0" applyNumberFormat="1" applyFont="1" applyFill="1" applyBorder="1" applyAlignment="1">
      <alignment horizontal="right"/>
    </xf>
    <xf numFmtId="166" fontId="2" fillId="10" borderId="1" xfId="0" applyNumberFormat="1" applyFont="1" applyFill="1" applyBorder="1"/>
    <xf numFmtId="166" fontId="2" fillId="10" borderId="0" xfId="0" applyNumberFormat="1" applyFont="1" applyFill="1" applyBorder="1"/>
    <xf numFmtId="167" fontId="2" fillId="10" borderId="1" xfId="0" applyNumberFormat="1" applyFont="1" applyFill="1" applyBorder="1"/>
    <xf numFmtId="174" fontId="2" fillId="0" borderId="0" xfId="0" applyNumberFormat="1" applyFont="1" applyBorder="1"/>
    <xf numFmtId="3" fontId="2" fillId="0" borderId="0" xfId="0" applyNumberFormat="1" applyFont="1" applyFill="1" applyBorder="1" applyAlignment="1"/>
    <xf numFmtId="2" fontId="2" fillId="10" borderId="1" xfId="0" applyNumberFormat="1" applyFont="1" applyFill="1" applyBorder="1"/>
    <xf numFmtId="0" fontId="2" fillId="0" borderId="0" xfId="0" applyFont="1" applyFill="1" applyBorder="1" applyAlignment="1">
      <alignment wrapText="1"/>
    </xf>
    <xf numFmtId="2" fontId="2" fillId="10" borderId="15" xfId="0" applyNumberFormat="1" applyFont="1" applyFill="1" applyBorder="1"/>
    <xf numFmtId="2" fontId="2" fillId="0" borderId="13" xfId="0" applyNumberFormat="1" applyFont="1" applyBorder="1"/>
    <xf numFmtId="3" fontId="2" fillId="0" borderId="12" xfId="0" applyNumberFormat="1" applyFont="1" applyFill="1" applyBorder="1"/>
    <xf numFmtId="0" fontId="2" fillId="0" borderId="0" xfId="0" applyFont="1" applyFill="1" applyBorder="1" applyAlignment="1"/>
    <xf numFmtId="3" fontId="2" fillId="3" borderId="0" xfId="0" applyNumberFormat="1" applyFont="1" applyFill="1" applyBorder="1" applyAlignment="1"/>
    <xf numFmtId="3" fontId="2" fillId="0" borderId="12" xfId="46" applyNumberFormat="1" applyFont="1" applyFill="1" applyBorder="1"/>
    <xf numFmtId="4" fontId="2" fillId="10" borderId="1" xfId="0" applyNumberFormat="1" applyFont="1" applyFill="1" applyBorder="1"/>
    <xf numFmtId="0" fontId="2" fillId="10" borderId="0" xfId="0" applyFont="1" applyFill="1" applyBorder="1" applyAlignment="1">
      <alignment wrapText="1"/>
    </xf>
    <xf numFmtId="4" fontId="0" fillId="10" borderId="0" xfId="0" applyNumberFormat="1" applyFont="1" applyFill="1" applyBorder="1"/>
    <xf numFmtId="4" fontId="0" fillId="10" borderId="0" xfId="0" applyNumberFormat="1" applyFont="1" applyFill="1"/>
    <xf numFmtId="3" fontId="2" fillId="10" borderId="0" xfId="0" applyNumberFormat="1" applyFont="1" applyFill="1" applyBorder="1" applyAlignment="1"/>
    <xf numFmtId="2" fontId="0" fillId="10" borderId="0" xfId="0" applyNumberFormat="1" applyFont="1" applyFill="1"/>
    <xf numFmtId="166" fontId="2" fillId="10" borderId="0" xfId="0" applyNumberFormat="1" applyFont="1" applyFill="1"/>
    <xf numFmtId="167" fontId="2" fillId="10" borderId="0" xfId="0" applyNumberFormat="1" applyFont="1" applyFill="1"/>
    <xf numFmtId="0" fontId="2" fillId="6" borderId="2" xfId="0" applyFont="1" applyFill="1" applyBorder="1" applyAlignment="1">
      <alignment wrapText="1"/>
    </xf>
    <xf numFmtId="3" fontId="2" fillId="6" borderId="14" xfId="0" applyNumberFormat="1" applyFont="1" applyFill="1" applyBorder="1" applyAlignment="1">
      <alignment wrapText="1"/>
    </xf>
    <xf numFmtId="3" fontId="6" fillId="6" borderId="1" xfId="0" applyNumberFormat="1" applyFont="1" applyFill="1" applyBorder="1" applyAlignment="1">
      <alignment wrapText="1"/>
    </xf>
    <xf numFmtId="165" fontId="2" fillId="6" borderId="0" xfId="0" applyNumberFormat="1" applyFont="1" applyFill="1" applyBorder="1" applyAlignment="1">
      <alignment wrapText="1"/>
    </xf>
    <xf numFmtId="4" fontId="2" fillId="6" borderId="15" xfId="0" applyNumberFormat="1" applyFont="1" applyFill="1" applyBorder="1" applyAlignment="1">
      <alignment wrapText="1"/>
    </xf>
    <xf numFmtId="43" fontId="2" fillId="6" borderId="0" xfId="0" applyNumberFormat="1" applyFont="1" applyFill="1" applyBorder="1" applyAlignment="1">
      <alignment wrapText="1"/>
    </xf>
    <xf numFmtId="3" fontId="2" fillId="6" borderId="1" xfId="0" applyNumberFormat="1" applyFont="1" applyFill="1" applyBorder="1" applyAlignment="1">
      <alignment wrapText="1"/>
    </xf>
    <xf numFmtId="3" fontId="2" fillId="6" borderId="0" xfId="0" applyNumberFormat="1" applyFont="1" applyFill="1" applyBorder="1" applyAlignment="1">
      <alignment wrapText="1"/>
    </xf>
    <xf numFmtId="2" fontId="2" fillId="6" borderId="1" xfId="0" applyNumberFormat="1" applyFont="1" applyFill="1" applyBorder="1" applyAlignment="1">
      <alignment wrapText="1"/>
    </xf>
    <xf numFmtId="166" fontId="2" fillId="6" borderId="1" xfId="0" applyNumberFormat="1" applyFont="1" applyFill="1" applyBorder="1" applyAlignment="1">
      <alignment wrapText="1"/>
    </xf>
    <xf numFmtId="166" fontId="2" fillId="6" borderId="0" xfId="0" applyNumberFormat="1" applyFont="1" applyFill="1" applyBorder="1" applyAlignment="1">
      <alignment wrapText="1"/>
    </xf>
    <xf numFmtId="166" fontId="2" fillId="6" borderId="1" xfId="0" applyNumberFormat="1" applyFont="1" applyFill="1" applyBorder="1"/>
    <xf numFmtId="167" fontId="2" fillId="6" borderId="1" xfId="0" applyNumberFormat="1" applyFont="1" applyFill="1" applyBorder="1"/>
    <xf numFmtId="4" fontId="2" fillId="6" borderId="0" xfId="0" applyNumberFormat="1" applyFont="1" applyFill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2" fillId="0" borderId="13" xfId="0" applyNumberFormat="1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3" fontId="2" fillId="0" borderId="14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4" fontId="2" fillId="0" borderId="15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166" fontId="2" fillId="0" borderId="0" xfId="0" applyNumberFormat="1" applyFont="1" applyFill="1" applyBorder="1" applyAlignment="1">
      <alignment wrapText="1"/>
    </xf>
    <xf numFmtId="0" fontId="2" fillId="14" borderId="2" xfId="0" applyFont="1" applyFill="1" applyBorder="1" applyAlignment="1">
      <alignment wrapText="1"/>
    </xf>
    <xf numFmtId="0" fontId="0" fillId="14" borderId="0" xfId="0" applyFont="1" applyFill="1"/>
    <xf numFmtId="3" fontId="2" fillId="14" borderId="14" xfId="0" applyNumberFormat="1" applyFont="1" applyFill="1" applyBorder="1"/>
    <xf numFmtId="0" fontId="0" fillId="14" borderId="0" xfId="0" applyFont="1" applyFill="1" applyBorder="1"/>
    <xf numFmtId="3" fontId="2" fillId="14" borderId="1" xfId="0" applyNumberFormat="1" applyFont="1" applyFill="1" applyBorder="1"/>
    <xf numFmtId="3" fontId="2" fillId="14" borderId="0" xfId="0" applyNumberFormat="1" applyFont="1" applyFill="1" applyBorder="1"/>
    <xf numFmtId="4" fontId="2" fillId="14" borderId="15" xfId="0" applyNumberFormat="1" applyFont="1" applyFill="1" applyBorder="1"/>
    <xf numFmtId="4" fontId="2" fillId="14" borderId="0" xfId="0" applyNumberFormat="1" applyFont="1" applyFill="1" applyBorder="1"/>
    <xf numFmtId="9" fontId="4" fillId="14" borderId="0" xfId="1" applyFont="1" applyFill="1" applyBorder="1"/>
    <xf numFmtId="4" fontId="2" fillId="14" borderId="1" xfId="0" applyNumberFormat="1" applyFont="1" applyFill="1" applyBorder="1"/>
    <xf numFmtId="166" fontId="2" fillId="14" borderId="1" xfId="0" applyNumberFormat="1" applyFont="1" applyFill="1" applyBorder="1"/>
    <xf numFmtId="166" fontId="2" fillId="14" borderId="0" xfId="0" applyNumberFormat="1" applyFont="1" applyFill="1" applyBorder="1"/>
    <xf numFmtId="167" fontId="2" fillId="14" borderId="1" xfId="0" applyNumberFormat="1" applyFont="1" applyFill="1" applyBorder="1"/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8" fillId="0" borderId="0" xfId="0" applyFont="1"/>
    <xf numFmtId="4" fontId="0" fillId="0" borderId="0" xfId="0" applyNumberFormat="1" applyFont="1" applyFill="1" applyBorder="1"/>
    <xf numFmtId="3" fontId="4" fillId="3" borderId="3" xfId="1146" applyNumberFormat="1" applyFont="1" applyFill="1" applyBorder="1" applyAlignment="1">
      <alignment wrapText="1"/>
    </xf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/>
    <xf numFmtId="0" fontId="26" fillId="5" borderId="2" xfId="0" applyFont="1" applyFill="1" applyBorder="1" applyAlignment="1">
      <alignment horizontal="center" wrapText="1"/>
    </xf>
    <xf numFmtId="0" fontId="2" fillId="0" borderId="30" xfId="0" applyFont="1" applyFill="1" applyBorder="1"/>
    <xf numFmtId="0" fontId="2" fillId="0" borderId="29" xfId="0" applyFont="1" applyFill="1" applyBorder="1"/>
    <xf numFmtId="0" fontId="0" fillId="0" borderId="30" xfId="0" applyFill="1" applyBorder="1"/>
    <xf numFmtId="0" fontId="0" fillId="0" borderId="29" xfId="0" applyFill="1" applyBorder="1"/>
    <xf numFmtId="0" fontId="2" fillId="0" borderId="0" xfId="0" applyFont="1" applyAlignment="1">
      <alignment vertical="center" textRotation="90"/>
    </xf>
    <xf numFmtId="2" fontId="4" fillId="7" borderId="24" xfId="0" applyNumberFormat="1" applyFont="1" applyFill="1" applyBorder="1" applyAlignment="1">
      <alignment horizontal="center"/>
    </xf>
    <xf numFmtId="3" fontId="6" fillId="7" borderId="24" xfId="0" applyNumberFormat="1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left"/>
    </xf>
    <xf numFmtId="4" fontId="19" fillId="0" borderId="25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3" fontId="4" fillId="3" borderId="4" xfId="0" applyNumberFormat="1" applyFont="1" applyFill="1" applyBorder="1" applyAlignment="1">
      <alignment wrapText="1"/>
    </xf>
    <xf numFmtId="3" fontId="29" fillId="0" borderId="3" xfId="0" applyNumberFormat="1" applyFont="1" applyBorder="1" applyAlignment="1">
      <alignment wrapText="1"/>
    </xf>
    <xf numFmtId="168" fontId="29" fillId="0" borderId="0" xfId="1" applyNumberFormat="1" applyFont="1" applyFill="1" applyBorder="1" applyAlignment="1">
      <alignment wrapText="1"/>
    </xf>
    <xf numFmtId="3" fontId="19" fillId="0" borderId="0" xfId="0" applyNumberFormat="1" applyFont="1" applyBorder="1" applyAlignment="1">
      <alignment wrapText="1"/>
    </xf>
    <xf numFmtId="3" fontId="19" fillId="0" borderId="42" xfId="0" applyNumberFormat="1" applyFont="1" applyFill="1" applyBorder="1" applyAlignment="1">
      <alignment wrapText="1"/>
    </xf>
    <xf numFmtId="172" fontId="19" fillId="0" borderId="0" xfId="0" applyNumberFormat="1" applyFont="1" applyBorder="1" applyAlignment="1">
      <alignment wrapText="1"/>
    </xf>
    <xf numFmtId="4" fontId="18" fillId="0" borderId="21" xfId="0" applyNumberFormat="1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10" fillId="0" borderId="3" xfId="0" applyFont="1" applyBorder="1" applyAlignment="1">
      <alignment horizontal="right" wrapText="1"/>
    </xf>
    <xf numFmtId="0" fontId="10" fillId="0" borderId="3" xfId="0" applyFont="1" applyFill="1" applyBorder="1" applyAlignment="1">
      <alignment wrapText="1"/>
    </xf>
    <xf numFmtId="3" fontId="6" fillId="3" borderId="3" xfId="0" applyNumberFormat="1" applyFont="1" applyFill="1" applyBorder="1" applyAlignment="1">
      <alignment wrapText="1"/>
    </xf>
    <xf numFmtId="0" fontId="10" fillId="0" borderId="21" xfId="0" applyFont="1" applyFill="1" applyBorder="1" applyAlignment="1">
      <alignment wrapText="1"/>
    </xf>
    <xf numFmtId="3" fontId="6" fillId="0" borderId="3" xfId="0" applyNumberFormat="1" applyFont="1" applyFill="1" applyBorder="1" applyAlignment="1">
      <alignment wrapText="1"/>
    </xf>
    <xf numFmtId="169" fontId="6" fillId="0" borderId="3" xfId="0" applyNumberFormat="1" applyFont="1" applyFill="1" applyBorder="1" applyAlignment="1">
      <alignment wrapText="1"/>
    </xf>
    <xf numFmtId="3" fontId="10" fillId="0" borderId="3" xfId="0" applyNumberFormat="1" applyFont="1" applyBorder="1" applyAlignment="1">
      <alignment wrapText="1"/>
    </xf>
    <xf numFmtId="3" fontId="10" fillId="0" borderId="3" xfId="0" applyNumberFormat="1" applyFont="1" applyFill="1" applyBorder="1" applyAlignment="1">
      <alignment wrapText="1"/>
    </xf>
    <xf numFmtId="172" fontId="10" fillId="0" borderId="3" xfId="0" applyNumberFormat="1" applyFont="1" applyBorder="1" applyAlignment="1">
      <alignment wrapText="1"/>
    </xf>
    <xf numFmtId="4" fontId="10" fillId="0" borderId="21" xfId="0" applyNumberFormat="1" applyFont="1" applyBorder="1" applyAlignment="1">
      <alignment wrapText="1"/>
    </xf>
    <xf numFmtId="168" fontId="10" fillId="0" borderId="0" xfId="1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 wrapText="1"/>
    </xf>
    <xf numFmtId="0" fontId="10" fillId="0" borderId="0" xfId="0" applyFont="1" applyFill="1"/>
    <xf numFmtId="0" fontId="31" fillId="0" borderId="0" xfId="0" applyFont="1" applyFill="1" applyBorder="1" applyAlignment="1"/>
    <xf numFmtId="0" fontId="10" fillId="0" borderId="0" xfId="0" applyFont="1" applyBorder="1" applyAlignment="1">
      <alignment horizontal="left"/>
    </xf>
    <xf numFmtId="0" fontId="2" fillId="6" borderId="0" xfId="0" applyFont="1" applyFill="1"/>
    <xf numFmtId="0" fontId="6" fillId="0" borderId="44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right" wrapText="1"/>
    </xf>
    <xf numFmtId="3" fontId="4" fillId="0" borderId="19" xfId="0" applyNumberFormat="1" applyFont="1" applyFill="1" applyBorder="1" applyAlignment="1">
      <alignment wrapText="1"/>
    </xf>
    <xf numFmtId="3" fontId="4" fillId="0" borderId="22" xfId="0" applyNumberFormat="1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3" fontId="19" fillId="0" borderId="45" xfId="0" applyNumberFormat="1" applyFont="1" applyFill="1" applyBorder="1" applyAlignment="1">
      <alignment wrapText="1"/>
    </xf>
    <xf numFmtId="172" fontId="19" fillId="0" borderId="45" xfId="0" applyNumberFormat="1" applyFont="1" applyFill="1" applyBorder="1" applyAlignment="1">
      <alignment wrapText="1"/>
    </xf>
    <xf numFmtId="168" fontId="19" fillId="0" borderId="7" xfId="1" applyNumberFormat="1" applyFont="1" applyFill="1" applyBorder="1" applyAlignment="1">
      <alignment wrapText="1"/>
    </xf>
    <xf numFmtId="0" fontId="18" fillId="0" borderId="43" xfId="0" applyFont="1" applyFill="1" applyBorder="1" applyAlignment="1">
      <alignment wrapText="1"/>
    </xf>
    <xf numFmtId="0" fontId="18" fillId="0" borderId="46" xfId="0" applyFont="1" applyFill="1" applyBorder="1" applyAlignment="1">
      <alignment wrapText="1"/>
    </xf>
    <xf numFmtId="3" fontId="4" fillId="0" borderId="46" xfId="0" applyNumberFormat="1" applyFont="1" applyFill="1" applyBorder="1" applyAlignment="1">
      <alignment wrapText="1"/>
    </xf>
    <xf numFmtId="0" fontId="2" fillId="6" borderId="29" xfId="0" applyFont="1" applyFill="1" applyBorder="1"/>
    <xf numFmtId="0" fontId="6" fillId="6" borderId="29" xfId="0" applyFont="1" applyFill="1" applyBorder="1" applyAlignment="1">
      <alignment horizontal="left"/>
    </xf>
    <xf numFmtId="0" fontId="19" fillId="6" borderId="29" xfId="0" applyFont="1" applyFill="1" applyBorder="1" applyAlignment="1">
      <alignment wrapText="1"/>
    </xf>
    <xf numFmtId="0" fontId="19" fillId="6" borderId="29" xfId="0" applyFont="1" applyFill="1" applyBorder="1" applyAlignment="1">
      <alignment horizontal="right" wrapText="1"/>
    </xf>
    <xf numFmtId="3" fontId="4" fillId="6" borderId="29" xfId="0" applyNumberFormat="1" applyFont="1" applyFill="1" applyBorder="1" applyAlignment="1">
      <alignment wrapText="1"/>
    </xf>
    <xf numFmtId="0" fontId="4" fillId="6" borderId="29" xfId="0" applyFont="1" applyFill="1" applyBorder="1" applyAlignment="1">
      <alignment wrapText="1"/>
    </xf>
    <xf numFmtId="3" fontId="19" fillId="6" borderId="29" xfId="0" applyNumberFormat="1" applyFont="1" applyFill="1" applyBorder="1" applyAlignment="1">
      <alignment wrapText="1"/>
    </xf>
    <xf numFmtId="4" fontId="19" fillId="6" borderId="29" xfId="0" applyNumberFormat="1" applyFont="1" applyFill="1" applyBorder="1" applyAlignment="1">
      <alignment wrapText="1"/>
    </xf>
    <xf numFmtId="168" fontId="19" fillId="6" borderId="29" xfId="1" applyNumberFormat="1" applyFont="1" applyFill="1" applyBorder="1" applyAlignment="1">
      <alignment wrapText="1"/>
    </xf>
    <xf numFmtId="3" fontId="20" fillId="6" borderId="29" xfId="0" applyNumberFormat="1" applyFont="1" applyFill="1" applyBorder="1" applyAlignment="1">
      <alignment horizontal="right" wrapText="1"/>
    </xf>
    <xf numFmtId="168" fontId="19" fillId="0" borderId="39" xfId="1" applyNumberFormat="1" applyFont="1" applyFill="1" applyBorder="1" applyAlignment="1">
      <alignment wrapText="1"/>
    </xf>
    <xf numFmtId="0" fontId="2" fillId="11" borderId="0" xfId="0" applyFont="1" applyFill="1"/>
    <xf numFmtId="0" fontId="0" fillId="11" borderId="0" xfId="0" applyFill="1"/>
    <xf numFmtId="172" fontId="0" fillId="11" borderId="0" xfId="0" applyNumberFormat="1" applyFill="1"/>
    <xf numFmtId="172" fontId="2" fillId="11" borderId="0" xfId="0" applyNumberFormat="1" applyFont="1" applyFill="1"/>
    <xf numFmtId="0" fontId="6" fillId="11" borderId="0" xfId="0" applyFont="1" applyFill="1" applyBorder="1"/>
    <xf numFmtId="0" fontId="18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8" fillId="0" borderId="0" xfId="0" applyFont="1" applyBorder="1" applyAlignment="1">
      <alignment horizontal="right" wrapText="1"/>
    </xf>
    <xf numFmtId="3" fontId="4" fillId="3" borderId="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 wrapText="1"/>
    </xf>
    <xf numFmtId="3" fontId="18" fillId="0" borderId="19" xfId="0" applyNumberFormat="1" applyFont="1" applyBorder="1" applyAlignment="1">
      <alignment wrapText="1"/>
    </xf>
    <xf numFmtId="172" fontId="18" fillId="0" borderId="19" xfId="0" applyNumberFormat="1" applyFont="1" applyBorder="1" applyAlignment="1">
      <alignment wrapText="1"/>
    </xf>
    <xf numFmtId="3" fontId="19" fillId="0" borderId="2" xfId="0" applyNumberFormat="1" applyFont="1" applyBorder="1" applyAlignment="1">
      <alignment wrapText="1"/>
    </xf>
    <xf numFmtId="0" fontId="19" fillId="0" borderId="2" xfId="0" applyFont="1" applyFill="1" applyBorder="1" applyAlignment="1">
      <alignment wrapText="1"/>
    </xf>
    <xf numFmtId="3" fontId="19" fillId="0" borderId="2" xfId="0" applyNumberFormat="1" applyFont="1" applyFill="1" applyBorder="1" applyAlignment="1">
      <alignment wrapText="1"/>
    </xf>
    <xf numFmtId="172" fontId="19" fillId="0" borderId="2" xfId="0" applyNumberFormat="1" applyFont="1" applyBorder="1" applyAlignment="1">
      <alignment wrapText="1"/>
    </xf>
    <xf numFmtId="4" fontId="19" fillId="0" borderId="2" xfId="0" applyNumberFormat="1" applyFont="1" applyBorder="1" applyAlignment="1">
      <alignment wrapText="1"/>
    </xf>
    <xf numFmtId="168" fontId="19" fillId="0" borderId="2" xfId="1" applyNumberFormat="1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4" fontId="19" fillId="0" borderId="0" xfId="0" applyNumberFormat="1" applyFont="1" applyFill="1" applyBorder="1" applyAlignment="1">
      <alignment wrapText="1"/>
    </xf>
    <xf numFmtId="0" fontId="18" fillId="0" borderId="22" xfId="0" applyFont="1" applyFill="1" applyBorder="1" applyAlignment="1">
      <alignment horizontal="right" wrapText="1"/>
    </xf>
    <xf numFmtId="3" fontId="6" fillId="0" borderId="18" xfId="0" applyNumberFormat="1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3" fontId="19" fillId="0" borderId="1" xfId="0" applyNumberFormat="1" applyFont="1" applyFill="1" applyBorder="1" applyAlignment="1">
      <alignment wrapText="1"/>
    </xf>
    <xf numFmtId="172" fontId="19" fillId="0" borderId="1" xfId="0" applyNumberFormat="1" applyFont="1" applyFill="1" applyBorder="1" applyAlignment="1">
      <alignment wrapText="1"/>
    </xf>
    <xf numFmtId="0" fontId="0" fillId="0" borderId="0" xfId="0" applyFill="1" applyAlignment="1">
      <alignment horizontal="right"/>
    </xf>
    <xf numFmtId="0" fontId="6" fillId="0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47" xfId="0" applyFill="1" applyBorder="1"/>
    <xf numFmtId="0" fontId="25" fillId="0" borderId="29" xfId="0" applyFont="1" applyBorder="1" applyAlignment="1">
      <alignment shrinkToFit="1"/>
    </xf>
    <xf numFmtId="0" fontId="25" fillId="0" borderId="29" xfId="0" applyFont="1" applyFill="1" applyBorder="1" applyAlignment="1">
      <alignment shrinkToFit="1"/>
    </xf>
    <xf numFmtId="3" fontId="0" fillId="0" borderId="29" xfId="0" applyNumberFormat="1" applyFill="1" applyBorder="1" applyAlignment="1"/>
    <xf numFmtId="0" fontId="25" fillId="5" borderId="29" xfId="0" applyFont="1" applyFill="1" applyBorder="1" applyAlignment="1">
      <alignment shrinkToFit="1"/>
    </xf>
    <xf numFmtId="0" fontId="26" fillId="5" borderId="29" xfId="0" applyFont="1" applyFill="1" applyBorder="1" applyAlignment="1">
      <alignment horizontal="center" wrapText="1"/>
    </xf>
    <xf numFmtId="0" fontId="25" fillId="0" borderId="47" xfId="0" applyFont="1" applyFill="1" applyBorder="1" applyAlignment="1">
      <alignment shrinkToFit="1"/>
    </xf>
    <xf numFmtId="3" fontId="0" fillId="0" borderId="47" xfId="0" applyNumberFormat="1" applyFill="1" applyBorder="1" applyAlignment="1"/>
    <xf numFmtId="0" fontId="0" fillId="0" borderId="29" xfId="0" applyBorder="1" applyAlignment="1">
      <alignment wrapText="1"/>
    </xf>
    <xf numFmtId="170" fontId="2" fillId="0" borderId="29" xfId="0" applyNumberFormat="1" applyFont="1" applyBorder="1" applyAlignment="1">
      <alignment horizontal="center"/>
    </xf>
    <xf numFmtId="0" fontId="0" fillId="16" borderId="0" xfId="0" applyFill="1"/>
    <xf numFmtId="0" fontId="29" fillId="17" borderId="0" xfId="0" applyFont="1" applyFill="1"/>
    <xf numFmtId="0" fontId="0" fillId="15" borderId="0" xfId="0" applyFill="1"/>
    <xf numFmtId="0" fontId="0" fillId="0" borderId="30" xfId="0" applyBorder="1" applyAlignment="1">
      <alignment horizontal="center" wrapText="1"/>
    </xf>
    <xf numFmtId="0" fontId="0" fillId="17" borderId="29" xfId="0" applyFill="1" applyBorder="1"/>
    <xf numFmtId="0" fontId="0" fillId="16" borderId="29" xfId="0" applyFill="1" applyBorder="1"/>
    <xf numFmtId="0" fontId="0" fillId="6" borderId="29" xfId="0" applyFill="1" applyBorder="1"/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5" fillId="0" borderId="28" xfId="0" applyFont="1" applyBorder="1" applyAlignment="1">
      <alignment shrinkToFit="1"/>
    </xf>
    <xf numFmtId="0" fontId="2" fillId="5" borderId="7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6" fillId="0" borderId="29" xfId="0" applyFont="1" applyFill="1" applyBorder="1" applyAlignment="1">
      <alignment horizontal="center" wrapText="1"/>
    </xf>
    <xf numFmtId="0" fontId="26" fillId="0" borderId="30" xfId="0" applyFont="1" applyFill="1" applyBorder="1" applyAlignment="1">
      <alignment horizontal="center" wrapText="1"/>
    </xf>
    <xf numFmtId="0" fontId="0" fillId="0" borderId="29" xfId="0" applyFill="1" applyBorder="1" applyAlignment="1">
      <alignment wrapText="1"/>
    </xf>
    <xf numFmtId="0" fontId="0" fillId="0" borderId="30" xfId="0" applyFill="1" applyBorder="1" applyAlignment="1">
      <alignment horizontal="center"/>
    </xf>
    <xf numFmtId="0" fontId="0" fillId="0" borderId="28" xfId="0" applyFill="1" applyBorder="1"/>
    <xf numFmtId="0" fontId="0" fillId="6" borderId="0" xfId="0" applyFill="1"/>
    <xf numFmtId="0" fontId="0" fillId="6" borderId="3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18" borderId="29" xfId="0" applyFill="1" applyBorder="1"/>
    <xf numFmtId="0" fontId="0" fillId="18" borderId="0" xfId="0" applyFill="1"/>
    <xf numFmtId="0" fontId="2" fillId="0" borderId="29" xfId="0" applyFont="1" applyBorder="1" applyAlignment="1">
      <alignment horizontal="center"/>
    </xf>
    <xf numFmtId="0" fontId="0" fillId="15" borderId="29" xfId="0" applyFill="1" applyBorder="1"/>
    <xf numFmtId="0" fontId="26" fillId="15" borderId="2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32" fillId="0" borderId="29" xfId="0" applyFont="1" applyFill="1" applyBorder="1" applyAlignment="1">
      <alignment shrinkToFit="1"/>
    </xf>
    <xf numFmtId="0" fontId="10" fillId="0" borderId="29" xfId="0" applyFont="1" applyFill="1" applyBorder="1"/>
    <xf numFmtId="0" fontId="10" fillId="0" borderId="30" xfId="0" applyFont="1" applyFill="1" applyBorder="1"/>
    <xf numFmtId="0" fontId="29" fillId="0" borderId="0" xfId="0" applyFont="1" applyFill="1"/>
    <xf numFmtId="0" fontId="29" fillId="0" borderId="0" xfId="0" applyFont="1" applyFill="1" applyBorder="1"/>
    <xf numFmtId="0" fontId="0" fillId="0" borderId="29" xfId="0" applyFont="1" applyBorder="1" applyAlignment="1">
      <alignment shrinkToFit="1"/>
    </xf>
    <xf numFmtId="0" fontId="29" fillId="11" borderId="0" xfId="0" applyFont="1" applyFill="1"/>
    <xf numFmtId="0" fontId="10" fillId="18" borderId="29" xfId="0" applyFont="1" applyFill="1" applyBorder="1"/>
    <xf numFmtId="0" fontId="10" fillId="6" borderId="29" xfId="0" applyFont="1" applyFill="1" applyBorder="1"/>
    <xf numFmtId="0" fontId="0" fillId="15" borderId="47" xfId="0" applyFill="1" applyBorder="1"/>
    <xf numFmtId="0" fontId="0" fillId="15" borderId="30" xfId="0" applyFill="1" applyBorder="1"/>
    <xf numFmtId="0" fontId="0" fillId="15" borderId="29" xfId="0" applyFill="1" applyBorder="1" applyAlignment="1">
      <alignment horizontal="center"/>
    </xf>
    <xf numFmtId="0" fontId="0" fillId="15" borderId="30" xfId="0" applyFill="1" applyBorder="1" applyAlignment="1">
      <alignment horizontal="center"/>
    </xf>
    <xf numFmtId="0" fontId="11" fillId="0" borderId="3" xfId="0" applyFont="1" applyFill="1" applyBorder="1" applyAlignment="1">
      <alignment wrapText="1"/>
    </xf>
    <xf numFmtId="3" fontId="11" fillId="3" borderId="3" xfId="0" applyNumberFormat="1" applyFont="1" applyFill="1" applyBorder="1" applyAlignment="1">
      <alignment wrapText="1"/>
    </xf>
    <xf numFmtId="0" fontId="29" fillId="0" borderId="3" xfId="0" applyFont="1" applyFill="1" applyBorder="1" applyAlignment="1">
      <alignment wrapText="1"/>
    </xf>
    <xf numFmtId="3" fontId="11" fillId="0" borderId="3" xfId="0" applyNumberFormat="1" applyFont="1" applyFill="1" applyBorder="1" applyAlignment="1">
      <alignment wrapText="1"/>
    </xf>
    <xf numFmtId="3" fontId="29" fillId="0" borderId="3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0" fontId="29" fillId="0" borderId="3" xfId="0" applyFont="1" applyBorder="1" applyAlignment="1">
      <alignment wrapText="1"/>
    </xf>
    <xf numFmtId="0" fontId="29" fillId="0" borderId="0" xfId="0" applyFont="1"/>
    <xf numFmtId="0" fontId="33" fillId="0" borderId="3" xfId="0" applyFont="1" applyFill="1" applyBorder="1" applyAlignment="1">
      <alignment wrapText="1"/>
    </xf>
    <xf numFmtId="0" fontId="11" fillId="11" borderId="0" xfId="0" applyFont="1" applyFill="1"/>
    <xf numFmtId="0" fontId="29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37" fontId="0" fillId="0" borderId="0" xfId="0" applyNumberFormat="1"/>
    <xf numFmtId="0" fontId="0" fillId="2" borderId="29" xfId="0" applyFill="1" applyBorder="1"/>
    <xf numFmtId="164" fontId="2" fillId="0" borderId="0" xfId="1361" applyFont="1"/>
    <xf numFmtId="164" fontId="2" fillId="4" borderId="0" xfId="1361" applyFont="1" applyFill="1"/>
    <xf numFmtId="164" fontId="11" fillId="0" borderId="0" xfId="1361" applyFont="1" applyBorder="1" applyAlignment="1">
      <alignment horizontal="center" vertical="center"/>
    </xf>
    <xf numFmtId="164" fontId="2" fillId="0" borderId="0" xfId="1361" applyFont="1" applyFill="1" applyAlignment="1">
      <alignment horizontal="center"/>
    </xf>
    <xf numFmtId="164" fontId="5" fillId="0" borderId="7" xfId="1361" applyFont="1" applyBorder="1" applyAlignment="1">
      <alignment horizontal="right"/>
    </xf>
    <xf numFmtId="164" fontId="0" fillId="0" borderId="0" xfId="1361" applyFont="1" applyBorder="1"/>
    <xf numFmtId="164" fontId="3" fillId="0" borderId="0" xfId="1361" applyFont="1" applyBorder="1" applyAlignment="1">
      <alignment horizontal="right"/>
    </xf>
    <xf numFmtId="164" fontId="6" fillId="0" borderId="0" xfId="1361" applyFont="1" applyBorder="1" applyAlignment="1">
      <alignment horizontal="right"/>
    </xf>
    <xf numFmtId="164" fontId="2" fillId="0" borderId="0" xfId="1361" applyFont="1" applyBorder="1"/>
    <xf numFmtId="164" fontId="0" fillId="10" borderId="0" xfId="1361" applyFont="1" applyFill="1" applyBorder="1"/>
    <xf numFmtId="164" fontId="0" fillId="0" borderId="0" xfId="1361" applyFont="1" applyFill="1" applyBorder="1"/>
    <xf numFmtId="164" fontId="2" fillId="0" borderId="0" xfId="1361" applyFont="1" applyFill="1" applyBorder="1" applyAlignment="1">
      <alignment wrapText="1"/>
    </xf>
    <xf numFmtId="164" fontId="0" fillId="14" borderId="0" xfId="1361" applyFont="1" applyFill="1" applyBorder="1"/>
    <xf numFmtId="164" fontId="0" fillId="0" borderId="10" xfId="1361" applyFont="1" applyBorder="1"/>
    <xf numFmtId="164" fontId="0" fillId="0" borderId="0" xfId="1361" applyFont="1"/>
    <xf numFmtId="0" fontId="18" fillId="5" borderId="52" xfId="0" applyFont="1" applyFill="1" applyBorder="1" applyAlignment="1">
      <alignment wrapText="1"/>
    </xf>
    <xf numFmtId="9" fontId="19" fillId="3" borderId="3" xfId="0" applyNumberFormat="1" applyFont="1" applyFill="1" applyBorder="1" applyAlignment="1">
      <alignment wrapText="1"/>
    </xf>
    <xf numFmtId="9" fontId="19" fillId="3" borderId="3" xfId="1" applyFont="1" applyFill="1" applyBorder="1" applyAlignment="1">
      <alignment wrapText="1"/>
    </xf>
    <xf numFmtId="9" fontId="19" fillId="2" borderId="3" xfId="1" applyFont="1" applyFill="1" applyBorder="1" applyAlignment="1">
      <alignment wrapText="1"/>
    </xf>
    <xf numFmtId="173" fontId="19" fillId="0" borderId="3" xfId="1361" applyNumberFormat="1" applyFont="1" applyFill="1" applyBorder="1" applyAlignment="1">
      <alignment wrapText="1"/>
    </xf>
    <xf numFmtId="173" fontId="0" fillId="0" borderId="0" xfId="1361" applyNumberFormat="1" applyFont="1"/>
    <xf numFmtId="173" fontId="20" fillId="8" borderId="3" xfId="1361" applyNumberFormat="1" applyFont="1" applyFill="1" applyBorder="1" applyAlignment="1">
      <alignment wrapText="1"/>
    </xf>
    <xf numFmtId="173" fontId="20" fillId="0" borderId="19" xfId="1361" applyNumberFormat="1" applyFont="1" applyFill="1" applyBorder="1" applyAlignment="1">
      <alignment wrapText="1"/>
    </xf>
    <xf numFmtId="173" fontId="18" fillId="5" borderId="52" xfId="1361" applyNumberFormat="1" applyFont="1" applyFill="1" applyBorder="1" applyAlignment="1">
      <alignment wrapText="1"/>
    </xf>
    <xf numFmtId="173" fontId="20" fillId="0" borderId="4" xfId="1361" applyNumberFormat="1" applyFont="1" applyFill="1" applyBorder="1" applyAlignment="1">
      <alignment wrapText="1"/>
    </xf>
    <xf numFmtId="173" fontId="20" fillId="0" borderId="3" xfId="1361" applyNumberFormat="1" applyFont="1" applyFill="1" applyBorder="1" applyAlignment="1">
      <alignment wrapText="1"/>
    </xf>
    <xf numFmtId="173" fontId="20" fillId="11" borderId="3" xfId="1361" applyNumberFormat="1" applyFont="1" applyFill="1" applyBorder="1" applyAlignment="1">
      <alignment wrapText="1"/>
    </xf>
    <xf numFmtId="173" fontId="20" fillId="10" borderId="3" xfId="1361" applyNumberFormat="1" applyFont="1" applyFill="1" applyBorder="1" applyAlignment="1">
      <alignment wrapText="1"/>
    </xf>
    <xf numFmtId="173" fontId="18" fillId="0" borderId="3" xfId="1361" applyNumberFormat="1" applyFont="1" applyFill="1" applyBorder="1" applyAlignment="1">
      <alignment wrapText="1"/>
    </xf>
    <xf numFmtId="173" fontId="18" fillId="0" borderId="18" xfId="1361" applyNumberFormat="1" applyFont="1" applyFill="1" applyBorder="1" applyAlignment="1">
      <alignment wrapText="1"/>
    </xf>
    <xf numFmtId="173" fontId="18" fillId="0" borderId="46" xfId="1361" applyNumberFormat="1" applyFont="1" applyFill="1" applyBorder="1" applyAlignment="1">
      <alignment wrapText="1"/>
    </xf>
    <xf numFmtId="173" fontId="18" fillId="0" borderId="4" xfId="1361" applyNumberFormat="1" applyFont="1" applyFill="1" applyBorder="1" applyAlignment="1">
      <alignment wrapText="1"/>
    </xf>
    <xf numFmtId="173" fontId="18" fillId="13" borderId="3" xfId="1361" applyNumberFormat="1" applyFont="1" applyFill="1" applyBorder="1" applyAlignment="1">
      <alignment wrapText="1"/>
    </xf>
    <xf numFmtId="173" fontId="18" fillId="10" borderId="3" xfId="1361" applyNumberFormat="1" applyFont="1" applyFill="1" applyBorder="1" applyAlignment="1">
      <alignment wrapText="1"/>
    </xf>
    <xf numFmtId="173" fontId="0" fillId="0" borderId="0" xfId="1361" applyNumberFormat="1" applyFont="1" applyFill="1"/>
    <xf numFmtId="173" fontId="18" fillId="0" borderId="0" xfId="1361" applyNumberFormat="1" applyFont="1" applyFill="1" applyBorder="1" applyAlignment="1">
      <alignment wrapText="1"/>
    </xf>
    <xf numFmtId="173" fontId="0" fillId="0" borderId="0" xfId="1361" applyNumberFormat="1" applyFont="1" applyFill="1" applyBorder="1"/>
    <xf numFmtId="173" fontId="0" fillId="11" borderId="0" xfId="1361" applyNumberFormat="1" applyFont="1" applyFill="1"/>
    <xf numFmtId="173" fontId="2" fillId="11" borderId="0" xfId="1361" applyNumberFormat="1" applyFont="1" applyFill="1"/>
    <xf numFmtId="0" fontId="25" fillId="0" borderId="0" xfId="0" applyFont="1" applyFill="1" applyBorder="1" applyAlignment="1">
      <alignment shrinkToFit="1"/>
    </xf>
    <xf numFmtId="0" fontId="10" fillId="0" borderId="18" xfId="0" applyFont="1" applyFill="1" applyBorder="1" applyAlignment="1">
      <alignment wrapText="1"/>
    </xf>
    <xf numFmtId="9" fontId="6" fillId="3" borderId="3" xfId="0" applyNumberFormat="1" applyFont="1" applyFill="1" applyBorder="1" applyAlignment="1">
      <alignment wrapText="1"/>
    </xf>
    <xf numFmtId="173" fontId="6" fillId="0" borderId="3" xfId="1361" applyNumberFormat="1" applyFont="1" applyFill="1" applyBorder="1" applyAlignment="1">
      <alignment wrapText="1"/>
    </xf>
    <xf numFmtId="9" fontId="6" fillId="3" borderId="3" xfId="1" applyFont="1" applyFill="1" applyBorder="1" applyAlignment="1">
      <alignment wrapText="1"/>
    </xf>
    <xf numFmtId="4" fontId="18" fillId="0" borderId="43" xfId="0" applyNumberFormat="1" applyFont="1" applyBorder="1" applyAlignment="1">
      <alignment wrapText="1"/>
    </xf>
    <xf numFmtId="0" fontId="0" fillId="2" borderId="47" xfId="0" applyFill="1" applyBorder="1"/>
    <xf numFmtId="0" fontId="0" fillId="2" borderId="0" xfId="0" applyFill="1"/>
    <xf numFmtId="0" fontId="2" fillId="2" borderId="29" xfId="0" applyFont="1" applyFill="1" applyBorder="1"/>
    <xf numFmtId="0" fontId="26" fillId="2" borderId="29" xfId="0" applyFont="1" applyFill="1" applyBorder="1" applyAlignment="1">
      <alignment horizontal="center" wrapText="1"/>
    </xf>
    <xf numFmtId="9" fontId="19" fillId="2" borderId="3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171" fontId="19" fillId="0" borderId="20" xfId="0" applyNumberFormat="1" applyFont="1" applyFill="1" applyBorder="1" applyAlignment="1">
      <alignment wrapText="1"/>
    </xf>
    <xf numFmtId="3" fontId="19" fillId="0" borderId="42" xfId="0" applyNumberFormat="1" applyFont="1" applyBorder="1" applyAlignment="1">
      <alignment wrapText="1"/>
    </xf>
    <xf numFmtId="171" fontId="19" fillId="0" borderId="20" xfId="0" applyNumberFormat="1" applyFont="1" applyBorder="1" applyAlignment="1">
      <alignment wrapText="1"/>
    </xf>
    <xf numFmtId="173" fontId="18" fillId="0" borderId="42" xfId="1361" applyNumberFormat="1" applyFont="1" applyFill="1" applyBorder="1" applyAlignment="1">
      <alignment wrapText="1"/>
    </xf>
    <xf numFmtId="0" fontId="18" fillId="0" borderId="42" xfId="0" applyFont="1" applyFill="1" applyBorder="1" applyAlignment="1">
      <alignment wrapText="1"/>
    </xf>
    <xf numFmtId="173" fontId="19" fillId="0" borderId="18" xfId="1361" applyNumberFormat="1" applyFont="1" applyFill="1" applyBorder="1" applyAlignment="1">
      <alignment wrapText="1"/>
    </xf>
    <xf numFmtId="9" fontId="19" fillId="2" borderId="18" xfId="1" applyFont="1" applyFill="1" applyBorder="1" applyAlignment="1">
      <alignment wrapText="1"/>
    </xf>
    <xf numFmtId="9" fontId="19" fillId="2" borderId="18" xfId="0" applyNumberFormat="1" applyFont="1" applyFill="1" applyBorder="1" applyAlignment="1">
      <alignment wrapText="1"/>
    </xf>
    <xf numFmtId="0" fontId="19" fillId="2" borderId="3" xfId="0" applyFont="1" applyFill="1" applyBorder="1" applyAlignment="1">
      <alignment wrapText="1"/>
    </xf>
    <xf numFmtId="0" fontId="18" fillId="2" borderId="3" xfId="0" applyFont="1" applyFill="1" applyBorder="1" applyAlignment="1">
      <alignment horizontal="right" wrapText="1"/>
    </xf>
    <xf numFmtId="0" fontId="18" fillId="2" borderId="21" xfId="0" applyFont="1" applyFill="1" applyBorder="1" applyAlignment="1">
      <alignment wrapText="1"/>
    </xf>
    <xf numFmtId="0" fontId="18" fillId="2" borderId="18" xfId="0" applyFont="1" applyFill="1" applyBorder="1" applyAlignment="1">
      <alignment wrapText="1"/>
    </xf>
    <xf numFmtId="3" fontId="4" fillId="2" borderId="18" xfId="0" applyNumberFormat="1" applyFont="1" applyFill="1" applyBorder="1" applyAlignment="1">
      <alignment wrapText="1"/>
    </xf>
    <xf numFmtId="0" fontId="18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169" fontId="4" fillId="2" borderId="3" xfId="0" applyNumberFormat="1" applyFont="1" applyFill="1" applyBorder="1" applyAlignment="1">
      <alignment wrapText="1"/>
    </xf>
    <xf numFmtId="3" fontId="18" fillId="2" borderId="3" xfId="0" applyNumberFormat="1" applyFont="1" applyFill="1" applyBorder="1" applyAlignment="1">
      <alignment wrapText="1"/>
    </xf>
    <xf numFmtId="172" fontId="18" fillId="2" borderId="3" xfId="0" applyNumberFormat="1" applyFont="1" applyFill="1" applyBorder="1" applyAlignment="1">
      <alignment wrapText="1"/>
    </xf>
    <xf numFmtId="4" fontId="18" fillId="2" borderId="21" xfId="0" applyNumberFormat="1" applyFont="1" applyFill="1" applyBorder="1" applyAlignment="1">
      <alignment wrapText="1"/>
    </xf>
    <xf numFmtId="168" fontId="18" fillId="2" borderId="0" xfId="1" applyNumberFormat="1" applyFont="1" applyFill="1" applyBorder="1" applyAlignment="1">
      <alignment wrapText="1"/>
    </xf>
    <xf numFmtId="173" fontId="19" fillId="2" borderId="3" xfId="1361" applyNumberFormat="1" applyFont="1" applyFill="1" applyBorder="1" applyAlignment="1">
      <alignment wrapText="1"/>
    </xf>
    <xf numFmtId="3" fontId="19" fillId="2" borderId="3" xfId="0" applyNumberFormat="1" applyFont="1" applyFill="1" applyBorder="1" applyAlignment="1">
      <alignment wrapText="1"/>
    </xf>
    <xf numFmtId="3" fontId="20" fillId="2" borderId="0" xfId="0" applyNumberFormat="1" applyFont="1" applyFill="1" applyBorder="1" applyAlignment="1">
      <alignment horizontal="right" wrapText="1"/>
    </xf>
    <xf numFmtId="1" fontId="4" fillId="2" borderId="24" xfId="0" applyNumberFormat="1" applyFont="1" applyFill="1" applyBorder="1" applyAlignment="1">
      <alignment horizontal="center"/>
    </xf>
    <xf numFmtId="3" fontId="6" fillId="3" borderId="3" xfId="1146" applyNumberFormat="1" applyFont="1" applyFill="1" applyBorder="1" applyAlignment="1">
      <alignment wrapText="1"/>
    </xf>
    <xf numFmtId="173" fontId="4" fillId="0" borderId="3" xfId="1361" applyNumberFormat="1" applyFont="1" applyFill="1" applyBorder="1" applyAlignment="1">
      <alignment wrapText="1"/>
    </xf>
    <xf numFmtId="171" fontId="19" fillId="0" borderId="1" xfId="0" applyNumberFormat="1" applyFont="1" applyFill="1" applyBorder="1" applyAlignment="1">
      <alignment wrapText="1"/>
    </xf>
    <xf numFmtId="171" fontId="19" fillId="0" borderId="45" xfId="0" applyNumberFormat="1" applyFont="1" applyFill="1" applyBorder="1" applyAlignment="1">
      <alignment wrapText="1"/>
    </xf>
    <xf numFmtId="9" fontId="18" fillId="6" borderId="3" xfId="1" applyFont="1" applyFill="1" applyBorder="1" applyAlignment="1">
      <alignment wrapText="1"/>
    </xf>
    <xf numFmtId="9" fontId="19" fillId="6" borderId="3" xfId="1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10" fillId="0" borderId="19" xfId="0" applyFont="1" applyFill="1" applyBorder="1" applyAlignment="1">
      <alignment horizontal="right" wrapText="1"/>
    </xf>
    <xf numFmtId="0" fontId="10" fillId="0" borderId="19" xfId="0" applyFont="1" applyFill="1" applyBorder="1" applyAlignment="1">
      <alignment wrapText="1"/>
    </xf>
    <xf numFmtId="3" fontId="6" fillId="0" borderId="19" xfId="0" applyNumberFormat="1" applyFont="1" applyFill="1" applyBorder="1" applyAlignment="1">
      <alignment wrapText="1"/>
    </xf>
    <xf numFmtId="3" fontId="6" fillId="0" borderId="22" xfId="0" applyNumberFormat="1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3" fontId="6" fillId="0" borderId="45" xfId="0" applyNumberFormat="1" applyFont="1" applyFill="1" applyBorder="1" applyAlignment="1">
      <alignment wrapText="1"/>
    </xf>
    <xf numFmtId="4" fontId="6" fillId="0" borderId="25" xfId="0" applyNumberFormat="1" applyFont="1" applyFill="1" applyBorder="1" applyAlignment="1">
      <alignment wrapText="1"/>
    </xf>
    <xf numFmtId="168" fontId="6" fillId="0" borderId="7" xfId="1" applyNumberFormat="1" applyFont="1" applyFill="1" applyBorder="1" applyAlignment="1">
      <alignment wrapText="1"/>
    </xf>
    <xf numFmtId="9" fontId="0" fillId="12" borderId="0" xfId="1" applyFont="1" applyFill="1" applyBorder="1"/>
    <xf numFmtId="171" fontId="19" fillId="0" borderId="22" xfId="0" applyNumberFormat="1" applyFont="1" applyBorder="1" applyAlignment="1">
      <alignment wrapText="1"/>
    </xf>
    <xf numFmtId="0" fontId="33" fillId="8" borderId="3" xfId="0" applyFont="1" applyFill="1" applyBorder="1" applyAlignment="1">
      <alignment wrapText="1"/>
    </xf>
    <xf numFmtId="0" fontId="33" fillId="0" borderId="19" xfId="0" applyFont="1" applyFill="1" applyBorder="1" applyAlignment="1">
      <alignment wrapText="1"/>
    </xf>
    <xf numFmtId="0" fontId="29" fillId="5" borderId="27" xfId="0" applyFont="1" applyFill="1" applyBorder="1" applyAlignment="1">
      <alignment wrapText="1"/>
    </xf>
    <xf numFmtId="0" fontId="33" fillId="0" borderId="4" xfId="0" applyFont="1" applyFill="1" applyBorder="1" applyAlignment="1">
      <alignment wrapText="1"/>
    </xf>
    <xf numFmtId="0" fontId="33" fillId="11" borderId="3" xfId="0" applyFont="1" applyFill="1" applyBorder="1" applyAlignment="1">
      <alignment wrapText="1"/>
    </xf>
    <xf numFmtId="0" fontId="33" fillId="10" borderId="3" xfId="0" applyFont="1" applyFill="1" applyBorder="1" applyAlignment="1">
      <alignment wrapText="1"/>
    </xf>
    <xf numFmtId="0" fontId="29" fillId="2" borderId="3" xfId="0" applyFont="1" applyFill="1" applyBorder="1" applyAlignment="1">
      <alignment wrapText="1"/>
    </xf>
    <xf numFmtId="0" fontId="29" fillId="0" borderId="19" xfId="0" applyFont="1" applyFill="1" applyBorder="1" applyAlignment="1">
      <alignment wrapText="1"/>
    </xf>
    <xf numFmtId="0" fontId="11" fillId="6" borderId="29" xfId="0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0" fontId="29" fillId="13" borderId="3" xfId="0" applyFont="1" applyFill="1" applyBorder="1" applyAlignment="1">
      <alignment wrapText="1"/>
    </xf>
    <xf numFmtId="0" fontId="29" fillId="10" borderId="3" xfId="0" applyFont="1" applyFill="1" applyBorder="1" applyAlignment="1">
      <alignment wrapText="1"/>
    </xf>
    <xf numFmtId="0" fontId="29" fillId="6" borderId="3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164" fontId="0" fillId="0" borderId="0" xfId="0" applyNumberFormat="1"/>
    <xf numFmtId="0" fontId="10" fillId="0" borderId="47" xfId="0" applyFont="1" applyFill="1" applyBorder="1"/>
    <xf numFmtId="0" fontId="34" fillId="0" borderId="50" xfId="0" applyFont="1" applyBorder="1" applyAlignment="1">
      <alignment wrapText="1"/>
    </xf>
    <xf numFmtId="0" fontId="10" fillId="0" borderId="49" xfId="0" applyFont="1" applyFill="1" applyBorder="1"/>
    <xf numFmtId="3" fontId="6" fillId="2" borderId="3" xfId="0" applyNumberFormat="1" applyFont="1" applyFill="1" applyBorder="1" applyAlignment="1">
      <alignment wrapText="1"/>
    </xf>
    <xf numFmtId="3" fontId="6" fillId="2" borderId="21" xfId="0" applyNumberFormat="1" applyFont="1" applyFill="1" applyBorder="1" applyAlignment="1">
      <alignment wrapText="1"/>
    </xf>
    <xf numFmtId="0" fontId="6" fillId="2" borderId="0" xfId="0" applyFont="1" applyFill="1"/>
    <xf numFmtId="3" fontId="35" fillId="3" borderId="3" xfId="0" applyNumberFormat="1" applyFont="1" applyFill="1" applyBorder="1" applyAlignment="1">
      <alignment wrapText="1"/>
    </xf>
    <xf numFmtId="3" fontId="35" fillId="0" borderId="3" xfId="0" applyNumberFormat="1" applyFont="1" applyFill="1" applyBorder="1" applyAlignment="1">
      <alignment wrapText="1"/>
    </xf>
    <xf numFmtId="0" fontId="35" fillId="0" borderId="0" xfId="0" applyFont="1" applyFill="1"/>
    <xf numFmtId="0" fontId="35" fillId="0" borderId="0" xfId="0" applyFont="1"/>
    <xf numFmtId="171" fontId="2" fillId="0" borderId="1" xfId="0" applyNumberFormat="1" applyFont="1" applyFill="1" applyBorder="1"/>
    <xf numFmtId="3" fontId="6" fillId="0" borderId="21" xfId="0" applyNumberFormat="1" applyFont="1" applyFill="1" applyBorder="1" applyAlignment="1">
      <alignment wrapText="1"/>
    </xf>
    <xf numFmtId="4" fontId="10" fillId="0" borderId="3" xfId="0" applyNumberFormat="1" applyFont="1" applyBorder="1" applyAlignment="1">
      <alignment wrapText="1"/>
    </xf>
    <xf numFmtId="164" fontId="2" fillId="12" borderId="1" xfId="0" applyNumberFormat="1" applyFont="1" applyFill="1" applyBorder="1"/>
    <xf numFmtId="0" fontId="2" fillId="17" borderId="29" xfId="0" applyFont="1" applyFill="1" applyBorder="1"/>
    <xf numFmtId="0" fontId="0" fillId="17" borderId="0" xfId="0" applyFill="1" applyBorder="1"/>
    <xf numFmtId="0" fontId="10" fillId="17" borderId="29" xfId="0" applyFont="1" applyFill="1" applyBorder="1"/>
    <xf numFmtId="0" fontId="25" fillId="0" borderId="29" xfId="0" applyFont="1" applyBorder="1"/>
    <xf numFmtId="0" fontId="0" fillId="18" borderId="47" xfId="0" applyFill="1" applyBorder="1"/>
    <xf numFmtId="0" fontId="10" fillId="15" borderId="29" xfId="0" applyFont="1" applyFill="1" applyBorder="1"/>
    <xf numFmtId="0" fontId="32" fillId="0" borderId="29" xfId="0" applyFont="1" applyBorder="1" applyAlignment="1">
      <alignment shrinkToFit="1"/>
    </xf>
    <xf numFmtId="0" fontId="29" fillId="0" borderId="29" xfId="0" applyFont="1" applyFill="1" applyBorder="1"/>
    <xf numFmtId="0" fontId="11" fillId="0" borderId="29" xfId="0" applyFont="1" applyFill="1" applyBorder="1"/>
    <xf numFmtId="0" fontId="2" fillId="15" borderId="29" xfId="0" applyFont="1" applyFill="1" applyBorder="1"/>
    <xf numFmtId="0" fontId="29" fillId="2" borderId="0" xfId="0" applyFont="1" applyFill="1" applyBorder="1"/>
    <xf numFmtId="171" fontId="0" fillId="0" borderId="0" xfId="0" applyNumberFormat="1" applyFill="1" applyBorder="1"/>
    <xf numFmtId="0" fontId="19" fillId="5" borderId="3" xfId="0" applyFont="1" applyFill="1" applyBorder="1" applyAlignment="1">
      <alignment horizontal="left" wrapText="1"/>
    </xf>
    <xf numFmtId="164" fontId="0" fillId="0" borderId="0" xfId="1361" applyNumberFormat="1" applyFont="1" applyFill="1" applyBorder="1"/>
    <xf numFmtId="173" fontId="19" fillId="12" borderId="29" xfId="1361" applyNumberFormat="1" applyFont="1" applyFill="1" applyBorder="1" applyAlignment="1">
      <alignment horizontal="center" wrapText="1"/>
    </xf>
    <xf numFmtId="173" fontId="0" fillId="0" borderId="50" xfId="1361" applyNumberFormat="1" applyFont="1" applyFill="1" applyBorder="1"/>
    <xf numFmtId="172" fontId="19" fillId="0" borderId="53" xfId="0" applyNumberFormat="1" applyFont="1" applyFill="1" applyBorder="1" applyAlignment="1">
      <alignment wrapText="1"/>
    </xf>
    <xf numFmtId="3" fontId="2" fillId="0" borderId="53" xfId="0" applyNumberFormat="1" applyFont="1" applyFill="1" applyBorder="1"/>
    <xf numFmtId="173" fontId="2" fillId="12" borderId="53" xfId="0" applyNumberFormat="1" applyFont="1" applyFill="1" applyBorder="1"/>
    <xf numFmtId="173" fontId="2" fillId="12" borderId="29" xfId="0" applyNumberFormat="1" applyFont="1" applyFill="1" applyBorder="1"/>
    <xf numFmtId="0" fontId="0" fillId="0" borderId="50" xfId="0" applyFill="1" applyBorder="1"/>
    <xf numFmtId="172" fontId="19" fillId="12" borderId="5" xfId="0" applyNumberFormat="1" applyFont="1" applyFill="1" applyBorder="1" applyAlignment="1">
      <alignment wrapText="1"/>
    </xf>
    <xf numFmtId="0" fontId="0" fillId="19" borderId="29" xfId="0" applyFill="1" applyBorder="1"/>
    <xf numFmtId="0" fontId="11" fillId="0" borderId="0" xfId="0" applyFont="1"/>
    <xf numFmtId="0" fontId="11" fillId="0" borderId="0" xfId="0" applyFont="1" applyAlignment="1">
      <alignment horizontal="right"/>
    </xf>
    <xf numFmtId="0" fontId="29" fillId="0" borderId="3" xfId="0" applyFont="1" applyBorder="1" applyAlignment="1">
      <alignment horizontal="right" wrapText="1"/>
    </xf>
    <xf numFmtId="0" fontId="29" fillId="0" borderId="21" xfId="0" applyFont="1" applyFill="1" applyBorder="1" applyAlignment="1">
      <alignment wrapText="1"/>
    </xf>
    <xf numFmtId="0" fontId="29" fillId="0" borderId="18" xfId="0" applyFont="1" applyFill="1" applyBorder="1" applyAlignment="1">
      <alignment wrapText="1"/>
    </xf>
    <xf numFmtId="3" fontId="11" fillId="0" borderId="18" xfId="0" applyNumberFormat="1" applyFont="1" applyFill="1" applyBorder="1" applyAlignment="1">
      <alignment wrapText="1"/>
    </xf>
    <xf numFmtId="172" fontId="29" fillId="0" borderId="3" xfId="0" applyNumberFormat="1" applyFont="1" applyBorder="1" applyAlignment="1">
      <alignment wrapText="1"/>
    </xf>
    <xf numFmtId="4" fontId="29" fillId="0" borderId="21" xfId="0" applyNumberFormat="1" applyFont="1" applyBorder="1" applyAlignment="1">
      <alignment wrapText="1"/>
    </xf>
    <xf numFmtId="9" fontId="11" fillId="3" borderId="3" xfId="0" applyNumberFormat="1" applyFont="1" applyFill="1" applyBorder="1" applyAlignment="1">
      <alignment wrapText="1"/>
    </xf>
    <xf numFmtId="173" fontId="11" fillId="0" borderId="3" xfId="1361" applyNumberFormat="1" applyFont="1" applyFill="1" applyBorder="1" applyAlignment="1">
      <alignment wrapText="1"/>
    </xf>
    <xf numFmtId="9" fontId="11" fillId="3" borderId="3" xfId="1" applyFont="1" applyFill="1" applyBorder="1" applyAlignment="1">
      <alignment wrapText="1"/>
    </xf>
    <xf numFmtId="0" fontId="11" fillId="0" borderId="3" xfId="0" applyFont="1" applyFill="1" applyBorder="1"/>
    <xf numFmtId="0" fontId="11" fillId="0" borderId="3" xfId="0" applyFont="1" applyBorder="1" applyAlignment="1">
      <alignment horizontal="right"/>
    </xf>
    <xf numFmtId="1" fontId="11" fillId="0" borderId="3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left"/>
    </xf>
    <xf numFmtId="173" fontId="29" fillId="0" borderId="0" xfId="1361" applyNumberFormat="1" applyFont="1"/>
    <xf numFmtId="0" fontId="11" fillId="0" borderId="0" xfId="0" applyFont="1" applyBorder="1"/>
    <xf numFmtId="3" fontId="11" fillId="0" borderId="3" xfId="0" applyNumberFormat="1" applyFont="1" applyFill="1" applyBorder="1" applyAlignment="1">
      <alignment horizontal="right" wrapText="1"/>
    </xf>
    <xf numFmtId="0" fontId="11" fillId="0" borderId="0" xfId="0" applyFont="1" applyFill="1" applyBorder="1"/>
    <xf numFmtId="0" fontId="29" fillId="0" borderId="3" xfId="0" applyFont="1" applyFill="1" applyBorder="1" applyAlignment="1">
      <alignment horizontal="right" wrapText="1"/>
    </xf>
    <xf numFmtId="3" fontId="11" fillId="0" borderId="4" xfId="0" applyNumberFormat="1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3" fontId="11" fillId="0" borderId="21" xfId="0" applyNumberFormat="1" applyFont="1" applyFill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1" fillId="0" borderId="17" xfId="0" applyFont="1" applyFill="1" applyBorder="1" applyAlignment="1">
      <alignment wrapText="1"/>
    </xf>
    <xf numFmtId="3" fontId="11" fillId="0" borderId="42" xfId="0" applyNumberFormat="1" applyFont="1" applyFill="1" applyBorder="1" applyAlignment="1">
      <alignment wrapText="1"/>
    </xf>
    <xf numFmtId="172" fontId="11" fillId="0" borderId="0" xfId="0" applyNumberFormat="1" applyFont="1" applyBorder="1" applyAlignment="1">
      <alignment wrapText="1"/>
    </xf>
    <xf numFmtId="4" fontId="11" fillId="0" borderId="25" xfId="0" applyNumberFormat="1" applyFont="1" applyBorder="1" applyAlignment="1">
      <alignment wrapText="1"/>
    </xf>
    <xf numFmtId="168" fontId="11" fillId="0" borderId="0" xfId="1" applyNumberFormat="1" applyFont="1" applyFill="1" applyBorder="1" applyAlignment="1">
      <alignment wrapText="1"/>
    </xf>
    <xf numFmtId="173" fontId="29" fillId="0" borderId="18" xfId="1361" applyNumberFormat="1" applyFont="1" applyFill="1" applyBorder="1" applyAlignment="1">
      <alignment wrapText="1"/>
    </xf>
    <xf numFmtId="0" fontId="11" fillId="0" borderId="0" xfId="0" applyFont="1" applyBorder="1" applyAlignment="1">
      <alignment horizontal="left"/>
    </xf>
    <xf numFmtId="0" fontId="6" fillId="2" borderId="0" xfId="0" applyFont="1" applyFill="1" applyBorder="1"/>
    <xf numFmtId="0" fontId="10" fillId="0" borderId="3" xfId="0" applyFont="1" applyBorder="1" applyAlignment="1">
      <alignment wrapText="1"/>
    </xf>
    <xf numFmtId="0" fontId="11" fillId="0" borderId="0" xfId="0" applyFont="1" applyFill="1"/>
    <xf numFmtId="0" fontId="6" fillId="0" borderId="0" xfId="0" applyFont="1" applyBorder="1"/>
    <xf numFmtId="4" fontId="4" fillId="3" borderId="3" xfId="0" applyNumberFormat="1" applyFont="1" applyFill="1" applyBorder="1" applyAlignment="1">
      <alignment wrapText="1"/>
    </xf>
    <xf numFmtId="0" fontId="36" fillId="0" borderId="54" xfId="0" applyFont="1" applyBorder="1" applyAlignment="1">
      <alignment wrapText="1"/>
    </xf>
    <xf numFmtId="0" fontId="28" fillId="0" borderId="55" xfId="0" applyFont="1" applyBorder="1" applyAlignment="1">
      <alignment horizontal="right" wrapText="1"/>
    </xf>
    <xf numFmtId="0" fontId="28" fillId="0" borderId="56" xfId="0" applyFont="1" applyBorder="1" applyAlignment="1">
      <alignment wrapText="1"/>
    </xf>
    <xf numFmtId="3" fontId="4" fillId="20" borderId="54" xfId="0" applyNumberFormat="1" applyFont="1" applyFill="1" applyBorder="1" applyAlignment="1">
      <alignment wrapText="1"/>
    </xf>
    <xf numFmtId="0" fontId="28" fillId="0" borderId="55" xfId="0" applyFont="1" applyBorder="1" applyAlignment="1">
      <alignment wrapText="1"/>
    </xf>
    <xf numFmtId="4" fontId="4" fillId="20" borderId="54" xfId="0" applyNumberFormat="1" applyFont="1" applyFill="1" applyBorder="1" applyAlignment="1">
      <alignment wrapText="1"/>
    </xf>
    <xf numFmtId="3" fontId="4" fillId="0" borderId="55" xfId="0" applyNumberFormat="1" applyFont="1" applyBorder="1" applyAlignment="1">
      <alignment wrapText="1"/>
    </xf>
    <xf numFmtId="0" fontId="4" fillId="0" borderId="55" xfId="0" applyFont="1" applyBorder="1" applyAlignment="1">
      <alignment wrapText="1"/>
    </xf>
    <xf numFmtId="3" fontId="6" fillId="20" borderId="55" xfId="0" applyNumberFormat="1" applyFont="1" applyFill="1" applyBorder="1" applyAlignment="1">
      <alignment wrapText="1"/>
    </xf>
    <xf numFmtId="169" fontId="6" fillId="0" borderId="55" xfId="0" applyNumberFormat="1" applyFont="1" applyBorder="1" applyAlignment="1">
      <alignment wrapText="1"/>
    </xf>
    <xf numFmtId="3" fontId="28" fillId="0" borderId="55" xfId="0" applyNumberFormat="1" applyFont="1" applyBorder="1" applyAlignment="1">
      <alignment wrapText="1"/>
    </xf>
    <xf numFmtId="172" fontId="28" fillId="0" borderId="55" xfId="0" applyNumberFormat="1" applyFont="1" applyBorder="1" applyAlignment="1">
      <alignment wrapText="1"/>
    </xf>
    <xf numFmtId="4" fontId="28" fillId="0" borderId="56" xfId="0" applyNumberFormat="1" applyFont="1" applyBorder="1" applyAlignment="1">
      <alignment wrapText="1"/>
    </xf>
    <xf numFmtId="168" fontId="28" fillId="0" borderId="0" xfId="0" applyNumberFormat="1" applyFont="1" applyAlignment="1">
      <alignment wrapText="1"/>
    </xf>
    <xf numFmtId="9" fontId="36" fillId="20" borderId="54" xfId="0" applyNumberFormat="1" applyFont="1" applyFill="1" applyBorder="1" applyAlignment="1">
      <alignment wrapText="1"/>
    </xf>
    <xf numFmtId="173" fontId="36" fillId="0" borderId="55" xfId="0" applyNumberFormat="1" applyFont="1" applyBorder="1" applyAlignment="1">
      <alignment wrapText="1"/>
    </xf>
    <xf numFmtId="9" fontId="36" fillId="20" borderId="55" xfId="0" applyNumberFormat="1" applyFont="1" applyFill="1" applyBorder="1" applyAlignment="1">
      <alignment wrapText="1"/>
    </xf>
    <xf numFmtId="3" fontId="36" fillId="0" borderId="55" xfId="0" applyNumberFormat="1" applyFont="1" applyBorder="1" applyAlignment="1">
      <alignment wrapText="1"/>
    </xf>
    <xf numFmtId="0" fontId="29" fillId="0" borderId="55" xfId="0" applyFont="1" applyBorder="1" applyAlignment="1">
      <alignment wrapText="1"/>
    </xf>
    <xf numFmtId="3" fontId="37" fillId="0" borderId="0" xfId="0" applyNumberFormat="1" applyFont="1" applyAlignment="1">
      <alignment horizontal="right" wrapText="1"/>
    </xf>
    <xf numFmtId="169" fontId="6" fillId="3" borderId="3" xfId="0" applyNumberFormat="1" applyFont="1" applyFill="1" applyBorder="1" applyAlignment="1">
      <alignment wrapText="1"/>
    </xf>
    <xf numFmtId="3" fontId="0" fillId="0" borderId="0" xfId="0" applyNumberFormat="1"/>
    <xf numFmtId="9" fontId="6" fillId="2" borderId="3" xfId="0" applyNumberFormat="1" applyFont="1" applyFill="1" applyBorder="1" applyAlignment="1">
      <alignment wrapText="1"/>
    </xf>
    <xf numFmtId="9" fontId="6" fillId="2" borderId="3" xfId="1" applyFont="1" applyFill="1" applyBorder="1" applyAlignment="1">
      <alignment wrapText="1"/>
    </xf>
    <xf numFmtId="0" fontId="6" fillId="0" borderId="7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wrapText="1"/>
    </xf>
    <xf numFmtId="3" fontId="6" fillId="0" borderId="7" xfId="0" applyNumberFormat="1" applyFont="1" applyFill="1" applyBorder="1" applyAlignment="1">
      <alignment wrapText="1"/>
    </xf>
    <xf numFmtId="172" fontId="6" fillId="0" borderId="7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9" fontId="6" fillId="2" borderId="0" xfId="0" applyNumberFormat="1" applyFont="1" applyFill="1" applyBorder="1" applyAlignment="1">
      <alignment wrapText="1"/>
    </xf>
    <xf numFmtId="9" fontId="6" fillId="2" borderId="0" xfId="1" applyFont="1" applyFill="1" applyBorder="1" applyAlignment="1">
      <alignment wrapText="1"/>
    </xf>
    <xf numFmtId="171" fontId="19" fillId="6" borderId="29" xfId="0" applyNumberFormat="1" applyFont="1" applyFill="1" applyBorder="1" applyAlignment="1">
      <alignment wrapText="1"/>
    </xf>
    <xf numFmtId="171" fontId="6" fillId="0" borderId="45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left"/>
    </xf>
    <xf numFmtId="169" fontId="4" fillId="3" borderId="4" xfId="0" applyNumberFormat="1" applyFont="1" applyFill="1" applyBorder="1" applyAlignment="1">
      <alignment wrapText="1"/>
    </xf>
    <xf numFmtId="3" fontId="6" fillId="3" borderId="4" xfId="0" applyNumberFormat="1" applyFont="1" applyFill="1" applyBorder="1" applyAlignment="1">
      <alignment wrapText="1"/>
    </xf>
    <xf numFmtId="0" fontId="0" fillId="2" borderId="0" xfId="0" applyFill="1" applyBorder="1"/>
    <xf numFmtId="0" fontId="19" fillId="0" borderId="57" xfId="0" applyFont="1" applyFill="1" applyBorder="1" applyAlignment="1">
      <alignment wrapText="1"/>
    </xf>
    <xf numFmtId="171" fontId="19" fillId="0" borderId="22" xfId="0" applyNumberFormat="1" applyFont="1" applyFill="1" applyBorder="1" applyAlignment="1">
      <alignment wrapText="1"/>
    </xf>
    <xf numFmtId="173" fontId="4" fillId="0" borderId="4" xfId="1361" applyNumberFormat="1" applyFont="1" applyFill="1" applyBorder="1" applyAlignment="1">
      <alignment wrapText="1"/>
    </xf>
    <xf numFmtId="171" fontId="4" fillId="3" borderId="3" xfId="0" applyNumberFormat="1" applyFont="1" applyFill="1" applyBorder="1" applyAlignment="1">
      <alignment wrapText="1"/>
    </xf>
    <xf numFmtId="0" fontId="2" fillId="0" borderId="6" xfId="0" applyFont="1" applyBorder="1"/>
    <xf numFmtId="0" fontId="2" fillId="0" borderId="8" xfId="0" applyFont="1" applyBorder="1"/>
    <xf numFmtId="0" fontId="2" fillId="0" borderId="13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30" xfId="0" applyFont="1" applyBorder="1"/>
    <xf numFmtId="0" fontId="2" fillId="0" borderId="28" xfId="0" applyFont="1" applyBorder="1"/>
    <xf numFmtId="0" fontId="2" fillId="0" borderId="2" xfId="0" applyFont="1" applyBorder="1"/>
    <xf numFmtId="0" fontId="2" fillId="0" borderId="10" xfId="0" applyFont="1" applyBorder="1"/>
    <xf numFmtId="0" fontId="2" fillId="11" borderId="8" xfId="0" applyFont="1" applyFill="1" applyBorder="1"/>
    <xf numFmtId="173" fontId="10" fillId="0" borderId="13" xfId="1361" applyNumberFormat="1" applyFont="1" applyFill="1" applyBorder="1"/>
    <xf numFmtId="0" fontId="29" fillId="2" borderId="13" xfId="0" applyFont="1" applyFill="1" applyBorder="1"/>
    <xf numFmtId="0" fontId="2" fillId="11" borderId="13" xfId="0" applyFont="1" applyFill="1" applyBorder="1"/>
    <xf numFmtId="0" fontId="6" fillId="0" borderId="13" xfId="0" applyFont="1" applyBorder="1" applyAlignment="1">
      <alignment horizontal="left"/>
    </xf>
    <xf numFmtId="0" fontId="11" fillId="11" borderId="13" xfId="0" applyFont="1" applyFill="1" applyBorder="1"/>
    <xf numFmtId="173" fontId="0" fillId="0" borderId="13" xfId="1361" applyNumberFormat="1" applyFont="1" applyBorder="1"/>
    <xf numFmtId="0" fontId="0" fillId="0" borderId="13" xfId="0" applyBorder="1"/>
    <xf numFmtId="0" fontId="2" fillId="11" borderId="6" xfId="0" applyFont="1" applyFill="1" applyBorder="1"/>
    <xf numFmtId="0" fontId="29" fillId="2" borderId="12" xfId="0" applyFont="1" applyFill="1" applyBorder="1"/>
    <xf numFmtId="0" fontId="2" fillId="11" borderId="12" xfId="0" applyFont="1" applyFill="1" applyBorder="1"/>
    <xf numFmtId="173" fontId="10" fillId="3" borderId="12" xfId="1361" applyNumberFormat="1" applyFont="1" applyFill="1" applyBorder="1"/>
    <xf numFmtId="0" fontId="6" fillId="0" borderId="12" xfId="0" applyFont="1" applyBorder="1" applyAlignment="1">
      <alignment horizontal="left"/>
    </xf>
    <xf numFmtId="0" fontId="11" fillId="11" borderId="12" xfId="0" applyFont="1" applyFill="1" applyBorder="1"/>
    <xf numFmtId="173" fontId="29" fillId="3" borderId="12" xfId="1361" applyNumberFormat="1" applyFont="1" applyFill="1" applyBorder="1"/>
    <xf numFmtId="175" fontId="10" fillId="3" borderId="12" xfId="1361" applyNumberFormat="1" applyFont="1" applyFill="1" applyBorder="1"/>
    <xf numFmtId="173" fontId="0" fillId="3" borderId="12" xfId="1361" applyNumberFormat="1" applyFont="1" applyFill="1" applyBorder="1"/>
    <xf numFmtId="0" fontId="0" fillId="0" borderId="12" xfId="0" applyBorder="1"/>
    <xf numFmtId="0" fontId="0" fillId="3" borderId="12" xfId="0" applyFill="1" applyBorder="1"/>
    <xf numFmtId="3" fontId="0" fillId="0" borderId="12" xfId="0" applyNumberFormat="1" applyBorder="1"/>
    <xf numFmtId="0" fontId="0" fillId="0" borderId="9" xfId="0" applyBorder="1"/>
    <xf numFmtId="0" fontId="0" fillId="0" borderId="11" xfId="0" applyBorder="1"/>
    <xf numFmtId="173" fontId="10" fillId="21" borderId="12" xfId="1361" applyNumberFormat="1" applyFont="1" applyFill="1" applyBorder="1"/>
    <xf numFmtId="3" fontId="10" fillId="0" borderId="22" xfId="0" applyNumberFormat="1" applyFont="1" applyFill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176" fontId="19" fillId="0" borderId="20" xfId="0" applyNumberFormat="1" applyFont="1" applyBorder="1" applyAlignment="1">
      <alignment wrapText="1"/>
    </xf>
    <xf numFmtId="4" fontId="19" fillId="12" borderId="5" xfId="0" applyNumberFormat="1" applyFont="1" applyFill="1" applyBorder="1" applyAlignment="1">
      <alignment wrapText="1"/>
    </xf>
    <xf numFmtId="0" fontId="29" fillId="0" borderId="55" xfId="0" applyFont="1" applyBorder="1" applyAlignment="1">
      <alignment horizontal="right" wrapText="1"/>
    </xf>
    <xf numFmtId="0" fontId="36" fillId="0" borderId="58" xfId="0" applyFont="1" applyBorder="1" applyAlignment="1">
      <alignment wrapText="1"/>
    </xf>
    <xf numFmtId="0" fontId="28" fillId="0" borderId="59" xfId="0" applyFont="1" applyBorder="1" applyAlignment="1">
      <alignment horizontal="right" wrapText="1"/>
    </xf>
    <xf numFmtId="0" fontId="28" fillId="0" borderId="60" xfId="0" applyFont="1" applyBorder="1" applyAlignment="1">
      <alignment wrapText="1"/>
    </xf>
    <xf numFmtId="3" fontId="4" fillId="20" borderId="58" xfId="0" applyNumberFormat="1" applyFont="1" applyFill="1" applyBorder="1" applyAlignment="1">
      <alignment wrapText="1"/>
    </xf>
    <xf numFmtId="0" fontId="28" fillId="0" borderId="59" xfId="0" applyFont="1" applyBorder="1" applyAlignment="1">
      <alignment wrapText="1"/>
    </xf>
    <xf numFmtId="3" fontId="4" fillId="0" borderId="59" xfId="0" applyNumberFormat="1" applyFont="1" applyBorder="1" applyAlignment="1">
      <alignment wrapText="1"/>
    </xf>
    <xf numFmtId="0" fontId="29" fillId="0" borderId="59" xfId="0" applyFont="1" applyBorder="1" applyAlignment="1">
      <alignment horizontal="right" wrapText="1"/>
    </xf>
    <xf numFmtId="0" fontId="4" fillId="0" borderId="59" xfId="0" applyFont="1" applyBorder="1" applyAlignment="1">
      <alignment wrapText="1"/>
    </xf>
    <xf numFmtId="3" fontId="6" fillId="20" borderId="59" xfId="0" applyNumberFormat="1" applyFont="1" applyFill="1" applyBorder="1" applyAlignment="1">
      <alignment wrapText="1"/>
    </xf>
    <xf numFmtId="3" fontId="28" fillId="0" borderId="59" xfId="0" applyNumberFormat="1" applyFont="1" applyBorder="1" applyAlignment="1">
      <alignment wrapText="1"/>
    </xf>
    <xf numFmtId="172" fontId="28" fillId="0" borderId="59" xfId="0" applyNumberFormat="1" applyFont="1" applyBorder="1" applyAlignment="1">
      <alignment wrapText="1"/>
    </xf>
    <xf numFmtId="4" fontId="28" fillId="0" borderId="60" xfId="0" applyNumberFormat="1" applyFont="1" applyBorder="1" applyAlignment="1">
      <alignment wrapText="1"/>
    </xf>
    <xf numFmtId="9" fontId="36" fillId="20" borderId="58" xfId="0" applyNumberFormat="1" applyFont="1" applyFill="1" applyBorder="1" applyAlignment="1">
      <alignment wrapText="1"/>
    </xf>
    <xf numFmtId="0" fontId="29" fillId="0" borderId="59" xfId="0" applyFont="1" applyBorder="1" applyAlignment="1">
      <alignment wrapText="1"/>
    </xf>
    <xf numFmtId="0" fontId="28" fillId="0" borderId="58" xfId="0" applyFont="1" applyBorder="1" applyAlignment="1">
      <alignment wrapText="1"/>
    </xf>
    <xf numFmtId="3" fontId="4" fillId="20" borderId="59" xfId="0" applyNumberFormat="1" applyFont="1" applyFill="1" applyBorder="1" applyAlignment="1">
      <alignment wrapText="1"/>
    </xf>
    <xf numFmtId="0" fontId="4" fillId="0" borderId="60" xfId="0" applyFont="1" applyBorder="1" applyAlignment="1">
      <alignment wrapText="1"/>
    </xf>
    <xf numFmtId="3" fontId="4" fillId="22" borderId="58" xfId="0" applyNumberFormat="1" applyFont="1" applyFill="1" applyBorder="1" applyAlignment="1">
      <alignment wrapText="1"/>
    </xf>
    <xf numFmtId="0" fontId="6" fillId="0" borderId="58" xfId="0" applyFont="1" applyBorder="1" applyAlignment="1">
      <alignment wrapText="1"/>
    </xf>
    <xf numFmtId="0" fontId="10" fillId="0" borderId="59" xfId="0" applyFont="1" applyBorder="1" applyAlignment="1">
      <alignment horizontal="right" wrapText="1"/>
    </xf>
    <xf numFmtId="0" fontId="10" fillId="0" borderId="59" xfId="0" applyFont="1" applyBorder="1" applyAlignment="1">
      <alignment wrapText="1"/>
    </xf>
    <xf numFmtId="0" fontId="10" fillId="0" borderId="60" xfId="0" applyFont="1" applyBorder="1" applyAlignment="1">
      <alignment wrapText="1"/>
    </xf>
    <xf numFmtId="169" fontId="4" fillId="20" borderId="58" xfId="0" applyNumberFormat="1" applyFont="1" applyFill="1" applyBorder="1" applyAlignment="1">
      <alignment wrapText="1"/>
    </xf>
    <xf numFmtId="3" fontId="6" fillId="0" borderId="59" xfId="0" applyNumberFormat="1" applyFont="1" applyBorder="1" applyAlignment="1">
      <alignment wrapText="1"/>
    </xf>
    <xf numFmtId="0" fontId="6" fillId="0" borderId="59" xfId="0" applyFont="1" applyBorder="1" applyAlignment="1">
      <alignment wrapText="1"/>
    </xf>
    <xf numFmtId="3" fontId="7" fillId="0" borderId="0" xfId="0" applyNumberFormat="1" applyFont="1" applyAlignment="1">
      <alignment horizontal="right" wrapText="1"/>
    </xf>
    <xf numFmtId="3" fontId="6" fillId="20" borderId="58" xfId="0" applyNumberFormat="1" applyFont="1" applyFill="1" applyBorder="1" applyAlignment="1">
      <alignment wrapText="1"/>
    </xf>
    <xf numFmtId="0" fontId="10" fillId="0" borderId="61" xfId="0" applyFont="1" applyBorder="1" applyAlignment="1">
      <alignment wrapText="1"/>
    </xf>
    <xf numFmtId="3" fontId="10" fillId="0" borderId="59" xfId="0" applyNumberFormat="1" applyFont="1" applyBorder="1" applyAlignment="1">
      <alignment wrapText="1"/>
    </xf>
    <xf numFmtId="172" fontId="10" fillId="0" borderId="59" xfId="0" applyNumberFormat="1" applyFont="1" applyBorder="1" applyAlignment="1">
      <alignment wrapText="1"/>
    </xf>
    <xf numFmtId="4" fontId="10" fillId="0" borderId="60" xfId="0" applyNumberFormat="1" applyFont="1" applyBorder="1" applyAlignment="1">
      <alignment wrapText="1"/>
    </xf>
    <xf numFmtId="9" fontId="6" fillId="20" borderId="58" xfId="0" applyNumberFormat="1" applyFont="1" applyFill="1" applyBorder="1" applyAlignment="1">
      <alignment wrapText="1"/>
    </xf>
    <xf numFmtId="0" fontId="6" fillId="0" borderId="60" xfId="0" applyFont="1" applyBorder="1" applyAlignment="1">
      <alignment wrapText="1"/>
    </xf>
    <xf numFmtId="3" fontId="6" fillId="3" borderId="0" xfId="0" applyNumberFormat="1" applyFont="1" applyFill="1" applyBorder="1" applyAlignment="1">
      <alignment wrapText="1"/>
    </xf>
    <xf numFmtId="9" fontId="19" fillId="3" borderId="0" xfId="0" applyNumberFormat="1" applyFont="1" applyFill="1" applyBorder="1" applyAlignment="1">
      <alignment wrapText="1"/>
    </xf>
    <xf numFmtId="173" fontId="19" fillId="0" borderId="0" xfId="1361" applyNumberFormat="1" applyFont="1" applyFill="1" applyBorder="1" applyAlignment="1">
      <alignment wrapText="1"/>
    </xf>
    <xf numFmtId="9" fontId="19" fillId="3" borderId="0" xfId="1" applyFont="1" applyFill="1" applyBorder="1" applyAlignment="1">
      <alignment wrapText="1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left"/>
    </xf>
    <xf numFmtId="0" fontId="0" fillId="0" borderId="0" xfId="0" quotePrefix="1" applyFont="1" applyFill="1" applyBorder="1" applyAlignment="1">
      <alignment wrapText="1"/>
    </xf>
    <xf numFmtId="0" fontId="0" fillId="0" borderId="0" xfId="0" applyFont="1" applyBorder="1" applyAlignment="1">
      <alignment horizontal="right" wrapText="1"/>
    </xf>
    <xf numFmtId="3" fontId="0" fillId="3" borderId="0" xfId="0" applyNumberFormat="1" applyFont="1" applyFill="1" applyBorder="1"/>
    <xf numFmtId="173" fontId="2" fillId="2" borderId="12" xfId="1361" applyNumberFormat="1" applyFont="1" applyFill="1" applyBorder="1"/>
    <xf numFmtId="0" fontId="0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4" fontId="2" fillId="0" borderId="0" xfId="0" applyNumberFormat="1" applyFont="1"/>
    <xf numFmtId="173" fontId="1" fillId="2" borderId="12" xfId="1361" applyNumberFormat="1" applyFont="1" applyFill="1" applyBorder="1"/>
    <xf numFmtId="3" fontId="0" fillId="3" borderId="0" xfId="0" applyNumberFormat="1" applyFont="1" applyFill="1" applyBorder="1" applyAlignment="1"/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/>
    <xf numFmtId="3" fontId="2" fillId="2" borderId="12" xfId="46" applyNumberFormat="1" applyFont="1" applyFill="1" applyBorder="1"/>
    <xf numFmtId="4" fontId="0" fillId="2" borderId="0" xfId="0" applyNumberFormat="1" applyFont="1" applyFill="1" applyBorder="1"/>
    <xf numFmtId="164" fontId="0" fillId="2" borderId="0" xfId="1361" applyFont="1" applyFill="1" applyBorder="1"/>
    <xf numFmtId="3" fontId="0" fillId="2" borderId="0" xfId="0" applyNumberFormat="1" applyFont="1" applyFill="1" applyBorder="1"/>
    <xf numFmtId="4" fontId="0" fillId="2" borderId="13" xfId="0" applyNumberFormat="1" applyFont="1" applyFill="1" applyBorder="1"/>
    <xf numFmtId="4" fontId="0" fillId="2" borderId="0" xfId="0" applyNumberFormat="1" applyFont="1" applyFill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/>
    <xf numFmtId="2" fontId="0" fillId="2" borderId="0" xfId="0" applyNumberFormat="1" applyFont="1" applyFill="1"/>
    <xf numFmtId="0" fontId="0" fillId="2" borderId="0" xfId="0" applyFont="1" applyFill="1"/>
    <xf numFmtId="166" fontId="2" fillId="2" borderId="0" xfId="0" applyNumberFormat="1" applyFont="1" applyFill="1"/>
    <xf numFmtId="167" fontId="2" fillId="2" borderId="0" xfId="0" applyNumberFormat="1" applyFont="1" applyFill="1"/>
    <xf numFmtId="0" fontId="2" fillId="2" borderId="0" xfId="0" applyFont="1" applyFill="1" applyBorder="1"/>
    <xf numFmtId="0" fontId="10" fillId="0" borderId="55" xfId="0" applyFont="1" applyBorder="1" applyAlignment="1">
      <alignment horizontal="right" wrapText="1"/>
    </xf>
    <xf numFmtId="164" fontId="2" fillId="10" borderId="14" xfId="1361" applyFont="1" applyFill="1" applyBorder="1"/>
    <xf numFmtId="164" fontId="2" fillId="6" borderId="14" xfId="1361" applyFont="1" applyFill="1" applyBorder="1" applyAlignment="1">
      <alignment wrapText="1"/>
    </xf>
    <xf numFmtId="173" fontId="29" fillId="0" borderId="3" xfId="1361" applyNumberFormat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/>
    <xf numFmtId="164" fontId="2" fillId="0" borderId="0" xfId="1361" applyFont="1" applyFill="1" applyBorder="1"/>
    <xf numFmtId="2" fontId="2" fillId="0" borderId="0" xfId="0" applyNumberFormat="1" applyFont="1" applyFill="1" applyBorder="1"/>
    <xf numFmtId="166" fontId="2" fillId="0" borderId="0" xfId="0" applyNumberFormat="1" applyFont="1" applyFill="1" applyBorder="1"/>
    <xf numFmtId="167" fontId="2" fillId="0" borderId="0" xfId="0" applyNumberFormat="1" applyFont="1" applyFill="1"/>
    <xf numFmtId="164" fontId="0" fillId="0" borderId="0" xfId="1361" applyNumberFormat="1" applyFont="1"/>
    <xf numFmtId="4" fontId="2" fillId="14" borderId="14" xfId="0" applyNumberFormat="1" applyFont="1" applyFill="1" applyBorder="1"/>
    <xf numFmtId="3" fontId="10" fillId="0" borderId="0" xfId="0" applyNumberFormat="1" applyFont="1"/>
    <xf numFmtId="0" fontId="10" fillId="0" borderId="12" xfId="0" applyFont="1" applyBorder="1"/>
    <xf numFmtId="0" fontId="10" fillId="0" borderId="13" xfId="0" applyFont="1" applyBorder="1"/>
    <xf numFmtId="3" fontId="0" fillId="0" borderId="0" xfId="0" applyNumberFormat="1" applyFont="1" applyFill="1" applyBorder="1" applyAlignment="1">
      <alignment horizontal="right"/>
    </xf>
    <xf numFmtId="3" fontId="19" fillId="23" borderId="1" xfId="0" applyNumberFormat="1" applyFont="1" applyFill="1" applyBorder="1" applyAlignment="1">
      <alignment wrapText="1"/>
    </xf>
    <xf numFmtId="171" fontId="19" fillId="6" borderId="20" xfId="46" applyNumberFormat="1" applyFont="1" applyFill="1" applyBorder="1" applyAlignment="1">
      <alignment wrapText="1"/>
    </xf>
    <xf numFmtId="3" fontId="6" fillId="3" borderId="3" xfId="0" quotePrefix="1" applyNumberFormat="1" applyFont="1" applyFill="1" applyBorder="1" applyAlignment="1">
      <alignment wrapText="1"/>
    </xf>
    <xf numFmtId="171" fontId="2" fillId="10" borderId="15" xfId="0" applyNumberFormat="1" applyFont="1" applyFill="1" applyBorder="1"/>
    <xf numFmtId="3" fontId="4" fillId="20" borderId="55" xfId="0" applyNumberFormat="1" applyFont="1" applyFill="1" applyBorder="1" applyAlignment="1">
      <alignment wrapText="1"/>
    </xf>
    <xf numFmtId="169" fontId="4" fillId="0" borderId="55" xfId="0" applyNumberFormat="1" applyFont="1" applyBorder="1" applyAlignment="1">
      <alignment wrapTex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3" fontId="2" fillId="0" borderId="0" xfId="0" applyNumberFormat="1" applyFont="1" applyFill="1" applyAlignment="1"/>
    <xf numFmtId="170" fontId="2" fillId="0" borderId="37" xfId="0" applyNumberFormat="1" applyFont="1" applyBorder="1" applyAlignment="1">
      <alignment horizontal="center"/>
    </xf>
    <xf numFmtId="170" fontId="0" fillId="0" borderId="36" xfId="0" applyNumberFormat="1" applyBorder="1" applyAlignment="1">
      <alignment horizontal="center"/>
    </xf>
    <xf numFmtId="170" fontId="0" fillId="0" borderId="35" xfId="0" applyNumberFormat="1" applyBorder="1" applyAlignment="1">
      <alignment horizontal="center"/>
    </xf>
    <xf numFmtId="3" fontId="0" fillId="0" borderId="29" xfId="0" applyNumberFormat="1" applyFill="1" applyBorder="1" applyAlignment="1"/>
    <xf numFmtId="170" fontId="2" fillId="0" borderId="30" xfId="0" applyNumberFormat="1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70" fontId="2" fillId="0" borderId="29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 vertical="center" textRotation="90"/>
    </xf>
    <xf numFmtId="0" fontId="2" fillId="0" borderId="40" xfId="0" applyFont="1" applyBorder="1" applyAlignment="1">
      <alignment horizontal="center" vertical="center" textRotation="90"/>
    </xf>
    <xf numFmtId="0" fontId="2" fillId="0" borderId="41" xfId="0" applyFont="1" applyBorder="1" applyAlignment="1">
      <alignment horizontal="center" vertical="center" textRotation="90"/>
    </xf>
    <xf numFmtId="0" fontId="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" fillId="0" borderId="3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8" xfId="0" applyFont="1" applyBorder="1" applyAlignment="1"/>
    <xf numFmtId="0" fontId="2" fillId="0" borderId="32" xfId="0" applyFont="1" applyBorder="1" applyAlignment="1"/>
    <xf numFmtId="170" fontId="0" fillId="0" borderId="51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8" xfId="0" applyBorder="1" applyAlignment="1">
      <alignment horizontal="center"/>
    </xf>
    <xf numFmtId="170" fontId="2" fillId="0" borderId="28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 vertical="center" textRotation="90"/>
    </xf>
    <xf numFmtId="0" fontId="2" fillId="0" borderId="50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</cellXfs>
  <cellStyles count="5112">
    <cellStyle name="Comma" xfId="1361" builtinId="3"/>
    <cellStyle name="Comma 2" xfId="46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1795" builtinId="9" hidden="1"/>
    <cellStyle name="Followed Hyperlink" xfId="1797" builtinId="9" hidden="1"/>
    <cellStyle name="Followed Hyperlink" xfId="1799" builtinId="9" hidden="1"/>
    <cellStyle name="Followed Hyperlink" xfId="1801" builtinId="9" hidden="1"/>
    <cellStyle name="Followed Hyperlink" xfId="1803" builtinId="9" hidden="1"/>
    <cellStyle name="Followed Hyperlink" xfId="1805" builtinId="9" hidden="1"/>
    <cellStyle name="Followed Hyperlink" xfId="1807" builtinId="9" hidden="1"/>
    <cellStyle name="Followed Hyperlink" xfId="1809" builtinId="9" hidden="1"/>
    <cellStyle name="Followed Hyperlink" xfId="1811" builtinId="9" hidden="1"/>
    <cellStyle name="Followed Hyperlink" xfId="1813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077" builtinId="9" hidden="1"/>
    <cellStyle name="Followed Hyperlink" xfId="2079" builtinId="9" hidden="1"/>
    <cellStyle name="Followed Hyperlink" xfId="2081" builtinId="9" hidden="1"/>
    <cellStyle name="Followed Hyperlink" xfId="2083" builtinId="9" hidden="1"/>
    <cellStyle name="Followed Hyperlink" xfId="2085" builtinId="9" hidden="1"/>
    <cellStyle name="Followed Hyperlink" xfId="2087" builtinId="9" hidden="1"/>
    <cellStyle name="Followed Hyperlink" xfId="2089" builtinId="9" hidden="1"/>
    <cellStyle name="Followed Hyperlink" xfId="2091" builtinId="9" hidden="1"/>
    <cellStyle name="Followed Hyperlink" xfId="2093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121" builtinId="9" hidden="1"/>
    <cellStyle name="Followed Hyperlink" xfId="2123" builtinId="9" hidden="1"/>
    <cellStyle name="Followed Hyperlink" xfId="2125" builtinId="9" hidden="1"/>
    <cellStyle name="Followed Hyperlink" xfId="2127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59" builtinId="9" hidden="1"/>
    <cellStyle name="Followed Hyperlink" xfId="2161" builtinId="9" hidden="1"/>
    <cellStyle name="Followed Hyperlink" xfId="2163" builtinId="9" hidden="1"/>
    <cellStyle name="Followed Hyperlink" xfId="2165" builtinId="9" hidden="1"/>
    <cellStyle name="Followed Hyperlink" xfId="2167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79" builtinId="9" hidden="1"/>
    <cellStyle name="Followed Hyperlink" xfId="2181" builtinId="9" hidden="1"/>
    <cellStyle name="Followed Hyperlink" xfId="2183" builtinId="9" hidden="1"/>
    <cellStyle name="Followed Hyperlink" xfId="2185" builtinId="9" hidden="1"/>
    <cellStyle name="Followed Hyperlink" xfId="2187" builtinId="9" hidden="1"/>
    <cellStyle name="Followed Hyperlink" xfId="2189" builtinId="9" hidden="1"/>
    <cellStyle name="Followed Hyperlink" xfId="2191" builtinId="9" hidden="1"/>
    <cellStyle name="Followed Hyperlink" xfId="2193" builtinId="9" hidden="1"/>
    <cellStyle name="Followed Hyperlink" xfId="2195" builtinId="9" hidden="1"/>
    <cellStyle name="Followed Hyperlink" xfId="2197" builtinId="9" hidden="1"/>
    <cellStyle name="Followed Hyperlink" xfId="2199" builtinId="9" hidden="1"/>
    <cellStyle name="Followed Hyperlink" xfId="2201" builtinId="9" hidden="1"/>
    <cellStyle name="Followed Hyperlink" xfId="2203" builtinId="9" hidden="1"/>
    <cellStyle name="Followed Hyperlink" xfId="2205" builtinId="9" hidden="1"/>
    <cellStyle name="Followed Hyperlink" xfId="2207" builtinId="9" hidden="1"/>
    <cellStyle name="Followed Hyperlink" xfId="2209" builtinId="9" hidden="1"/>
    <cellStyle name="Followed Hyperlink" xfId="2211" builtinId="9" hidden="1"/>
    <cellStyle name="Followed Hyperlink" xfId="2213" builtinId="9" hidden="1"/>
    <cellStyle name="Followed Hyperlink" xfId="2215" builtinId="9" hidden="1"/>
    <cellStyle name="Followed Hyperlink" xfId="2217" builtinId="9" hidden="1"/>
    <cellStyle name="Followed Hyperlink" xfId="2219" builtinId="9" hidden="1"/>
    <cellStyle name="Followed Hyperlink" xfId="2221" builtinId="9" hidden="1"/>
    <cellStyle name="Followed Hyperlink" xfId="2223" builtinId="9" hidden="1"/>
    <cellStyle name="Followed Hyperlink" xfId="2225" builtinId="9" hidden="1"/>
    <cellStyle name="Followed Hyperlink" xfId="2227" builtinId="9" hidden="1"/>
    <cellStyle name="Followed Hyperlink" xfId="2229" builtinId="9" hidden="1"/>
    <cellStyle name="Followed Hyperlink" xfId="2231" builtinId="9" hidden="1"/>
    <cellStyle name="Followed Hyperlink" xfId="2233" builtinId="9" hidden="1"/>
    <cellStyle name="Followed Hyperlink" xfId="2235" builtinId="9" hidden="1"/>
    <cellStyle name="Followed Hyperlink" xfId="2237" builtinId="9" hidden="1"/>
    <cellStyle name="Followed Hyperlink" xfId="2239" builtinId="9" hidden="1"/>
    <cellStyle name="Followed Hyperlink" xfId="2241" builtinId="9" hidden="1"/>
    <cellStyle name="Followed Hyperlink" xfId="2243" builtinId="9" hidden="1"/>
    <cellStyle name="Followed Hyperlink" xfId="2245" builtinId="9" hidden="1"/>
    <cellStyle name="Followed Hyperlink" xfId="2247" builtinId="9" hidden="1"/>
    <cellStyle name="Followed Hyperlink" xfId="2249" builtinId="9" hidden="1"/>
    <cellStyle name="Followed Hyperlink" xfId="2251" builtinId="9" hidden="1"/>
    <cellStyle name="Followed Hyperlink" xfId="2253" builtinId="9" hidden="1"/>
    <cellStyle name="Followed Hyperlink" xfId="2255" builtinId="9" hidden="1"/>
    <cellStyle name="Followed Hyperlink" xfId="2257" builtinId="9" hidden="1"/>
    <cellStyle name="Followed Hyperlink" xfId="2259" builtinId="9" hidden="1"/>
    <cellStyle name="Followed Hyperlink" xfId="2261" builtinId="9" hidden="1"/>
    <cellStyle name="Followed Hyperlink" xfId="2263" builtinId="9" hidden="1"/>
    <cellStyle name="Followed Hyperlink" xfId="2265" builtinId="9" hidden="1"/>
    <cellStyle name="Followed Hyperlink" xfId="2267" builtinId="9" hidden="1"/>
    <cellStyle name="Followed Hyperlink" xfId="2269" builtinId="9" hidden="1"/>
    <cellStyle name="Followed Hyperlink" xfId="2271" builtinId="9" hidden="1"/>
    <cellStyle name="Followed Hyperlink" xfId="2273" builtinId="9" hidden="1"/>
    <cellStyle name="Followed Hyperlink" xfId="2275" builtinId="9" hidden="1"/>
    <cellStyle name="Followed Hyperlink" xfId="2277" builtinId="9" hidden="1"/>
    <cellStyle name="Followed Hyperlink" xfId="2279" builtinId="9" hidden="1"/>
    <cellStyle name="Followed Hyperlink" xfId="2281" builtinId="9" hidden="1"/>
    <cellStyle name="Followed Hyperlink" xfId="2283" builtinId="9" hidden="1"/>
    <cellStyle name="Followed Hyperlink" xfId="2285" builtinId="9" hidden="1"/>
    <cellStyle name="Followed Hyperlink" xfId="2287" builtinId="9" hidden="1"/>
    <cellStyle name="Followed Hyperlink" xfId="2289" builtinId="9" hidden="1"/>
    <cellStyle name="Followed Hyperlink" xfId="2291" builtinId="9" hidden="1"/>
    <cellStyle name="Followed Hyperlink" xfId="2293" builtinId="9" hidden="1"/>
    <cellStyle name="Followed Hyperlink" xfId="2295" builtinId="9" hidden="1"/>
    <cellStyle name="Followed Hyperlink" xfId="2297" builtinId="9" hidden="1"/>
    <cellStyle name="Followed Hyperlink" xfId="2299" builtinId="9" hidden="1"/>
    <cellStyle name="Followed Hyperlink" xfId="2301" builtinId="9" hidden="1"/>
    <cellStyle name="Followed Hyperlink" xfId="2303" builtinId="9" hidden="1"/>
    <cellStyle name="Followed Hyperlink" xfId="2305" builtinId="9" hidden="1"/>
    <cellStyle name="Followed Hyperlink" xfId="2307" builtinId="9" hidden="1"/>
    <cellStyle name="Followed Hyperlink" xfId="2309" builtinId="9" hidden="1"/>
    <cellStyle name="Followed Hyperlink" xfId="2311" builtinId="9" hidden="1"/>
    <cellStyle name="Followed Hyperlink" xfId="2313" builtinId="9" hidden="1"/>
    <cellStyle name="Followed Hyperlink" xfId="2315" builtinId="9" hidden="1"/>
    <cellStyle name="Followed Hyperlink" xfId="2317" builtinId="9" hidden="1"/>
    <cellStyle name="Followed Hyperlink" xfId="2319" builtinId="9" hidden="1"/>
    <cellStyle name="Followed Hyperlink" xfId="2321" builtinId="9" hidden="1"/>
    <cellStyle name="Followed Hyperlink" xfId="2323" builtinId="9" hidden="1"/>
    <cellStyle name="Followed Hyperlink" xfId="2325" builtinId="9" hidden="1"/>
    <cellStyle name="Followed Hyperlink" xfId="2327" builtinId="9" hidden="1"/>
    <cellStyle name="Followed Hyperlink" xfId="2329" builtinId="9" hidden="1"/>
    <cellStyle name="Followed Hyperlink" xfId="2331" builtinId="9" hidden="1"/>
    <cellStyle name="Followed Hyperlink" xfId="2333" builtinId="9" hidden="1"/>
    <cellStyle name="Followed Hyperlink" xfId="2335" builtinId="9" hidden="1"/>
    <cellStyle name="Followed Hyperlink" xfId="2337" builtinId="9" hidden="1"/>
    <cellStyle name="Followed Hyperlink" xfId="2339" builtinId="9" hidden="1"/>
    <cellStyle name="Followed Hyperlink" xfId="2341" builtinId="9" hidden="1"/>
    <cellStyle name="Followed Hyperlink" xfId="2343" builtinId="9" hidden="1"/>
    <cellStyle name="Followed Hyperlink" xfId="2345" builtinId="9" hidden="1"/>
    <cellStyle name="Followed Hyperlink" xfId="2347" builtinId="9" hidden="1"/>
    <cellStyle name="Followed Hyperlink" xfId="2349" builtinId="9" hidden="1"/>
    <cellStyle name="Followed Hyperlink" xfId="2351" builtinId="9" hidden="1"/>
    <cellStyle name="Followed Hyperlink" xfId="2353" builtinId="9" hidden="1"/>
    <cellStyle name="Followed Hyperlink" xfId="2355" builtinId="9" hidden="1"/>
    <cellStyle name="Followed Hyperlink" xfId="2357" builtinId="9" hidden="1"/>
    <cellStyle name="Followed Hyperlink" xfId="2359" builtinId="9" hidden="1"/>
    <cellStyle name="Followed Hyperlink" xfId="2361" builtinId="9" hidden="1"/>
    <cellStyle name="Followed Hyperlink" xfId="2363" builtinId="9" hidden="1"/>
    <cellStyle name="Followed Hyperlink" xfId="2365" builtinId="9" hidden="1"/>
    <cellStyle name="Followed Hyperlink" xfId="2367" builtinId="9" hidden="1"/>
    <cellStyle name="Followed Hyperlink" xfId="2369" builtinId="9" hidden="1"/>
    <cellStyle name="Followed Hyperlink" xfId="2371" builtinId="9" hidden="1"/>
    <cellStyle name="Followed Hyperlink" xfId="2373" builtinId="9" hidden="1"/>
    <cellStyle name="Followed Hyperlink" xfId="2375" builtinId="9" hidden="1"/>
    <cellStyle name="Followed Hyperlink" xfId="2377" builtinId="9" hidden="1"/>
    <cellStyle name="Followed Hyperlink" xfId="2379" builtinId="9" hidden="1"/>
    <cellStyle name="Followed Hyperlink" xfId="2381" builtinId="9" hidden="1"/>
    <cellStyle name="Followed Hyperlink" xfId="2383" builtinId="9" hidden="1"/>
    <cellStyle name="Followed Hyperlink" xfId="2385" builtinId="9" hidden="1"/>
    <cellStyle name="Followed Hyperlink" xfId="2387" builtinId="9" hidden="1"/>
    <cellStyle name="Followed Hyperlink" xfId="2389" builtinId="9" hidden="1"/>
    <cellStyle name="Followed Hyperlink" xfId="2391" builtinId="9" hidden="1"/>
    <cellStyle name="Followed Hyperlink" xfId="2393" builtinId="9" hidden="1"/>
    <cellStyle name="Followed Hyperlink" xfId="2395" builtinId="9" hidden="1"/>
    <cellStyle name="Followed Hyperlink" xfId="2397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5" builtinId="9" hidden="1"/>
    <cellStyle name="Followed Hyperlink" xfId="2407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5" builtinId="9" hidden="1"/>
    <cellStyle name="Followed Hyperlink" xfId="2437" builtinId="9" hidden="1"/>
    <cellStyle name="Followed Hyperlink" xfId="2439" builtinId="9" hidden="1"/>
    <cellStyle name="Followed Hyperlink" xfId="2441" builtinId="9" hidden="1"/>
    <cellStyle name="Followed Hyperlink" xfId="2443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Followed Hyperlink" xfId="2599" builtinId="9" hidden="1"/>
    <cellStyle name="Followed Hyperlink" xfId="2601" builtinId="9" hidden="1"/>
    <cellStyle name="Followed Hyperlink" xfId="2603" builtinId="9" hidden="1"/>
    <cellStyle name="Followed Hyperlink" xfId="2605" builtinId="9" hidden="1"/>
    <cellStyle name="Followed Hyperlink" xfId="2607" builtinId="9" hidden="1"/>
    <cellStyle name="Followed Hyperlink" xfId="2609" builtinId="9" hidden="1"/>
    <cellStyle name="Followed Hyperlink" xfId="2611" builtinId="9" hidden="1"/>
    <cellStyle name="Followed Hyperlink" xfId="2613" builtinId="9" hidden="1"/>
    <cellStyle name="Followed Hyperlink" xfId="2615" builtinId="9" hidden="1"/>
    <cellStyle name="Followed Hyperlink" xfId="2617" builtinId="9" hidden="1"/>
    <cellStyle name="Followed Hyperlink" xfId="2619" builtinId="9" hidden="1"/>
    <cellStyle name="Followed Hyperlink" xfId="2621" builtinId="9" hidden="1"/>
    <cellStyle name="Followed Hyperlink" xfId="2623" builtinId="9" hidden="1"/>
    <cellStyle name="Followed Hyperlink" xfId="2625" builtinId="9" hidden="1"/>
    <cellStyle name="Followed Hyperlink" xfId="2627" builtinId="9" hidden="1"/>
    <cellStyle name="Followed Hyperlink" xfId="2629" builtinId="9" hidden="1"/>
    <cellStyle name="Followed Hyperlink" xfId="2631" builtinId="9" hidden="1"/>
    <cellStyle name="Followed Hyperlink" xfId="2633" builtinId="9" hidden="1"/>
    <cellStyle name="Followed Hyperlink" xfId="2635" builtinId="9" hidden="1"/>
    <cellStyle name="Followed Hyperlink" xfId="2637" builtinId="9" hidden="1"/>
    <cellStyle name="Followed Hyperlink" xfId="2639" builtinId="9" hidden="1"/>
    <cellStyle name="Followed Hyperlink" xfId="2641" builtinId="9" hidden="1"/>
    <cellStyle name="Followed Hyperlink" xfId="2643" builtinId="9" hidden="1"/>
    <cellStyle name="Followed Hyperlink" xfId="2645" builtinId="9" hidden="1"/>
    <cellStyle name="Followed Hyperlink" xfId="2647" builtinId="9" hidden="1"/>
    <cellStyle name="Followed Hyperlink" xfId="2649" builtinId="9" hidden="1"/>
    <cellStyle name="Followed Hyperlink" xfId="2651" builtinId="9" hidden="1"/>
    <cellStyle name="Followed Hyperlink" xfId="2653" builtinId="9" hidden="1"/>
    <cellStyle name="Followed Hyperlink" xfId="2655" builtinId="9" hidden="1"/>
    <cellStyle name="Followed Hyperlink" xfId="2657" builtinId="9" hidden="1"/>
    <cellStyle name="Followed Hyperlink" xfId="2659" builtinId="9" hidden="1"/>
    <cellStyle name="Followed Hyperlink" xfId="2661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Followed Hyperlink" xfId="2677" builtinId="9" hidden="1"/>
    <cellStyle name="Followed Hyperlink" xfId="2679" builtinId="9" hidden="1"/>
    <cellStyle name="Followed Hyperlink" xfId="2681" builtinId="9" hidden="1"/>
    <cellStyle name="Followed Hyperlink" xfId="2683" builtinId="9" hidden="1"/>
    <cellStyle name="Followed Hyperlink" xfId="2685" builtinId="9" hidden="1"/>
    <cellStyle name="Followed Hyperlink" xfId="2687" builtinId="9" hidden="1"/>
    <cellStyle name="Followed Hyperlink" xfId="2689" builtinId="9" hidden="1"/>
    <cellStyle name="Followed Hyperlink" xfId="2691" builtinId="9" hidden="1"/>
    <cellStyle name="Followed Hyperlink" xfId="2693" builtinId="9" hidden="1"/>
    <cellStyle name="Followed Hyperlink" xfId="2695" builtinId="9" hidden="1"/>
    <cellStyle name="Followed Hyperlink" xfId="2697" builtinId="9" hidden="1"/>
    <cellStyle name="Followed Hyperlink" xfId="2699" builtinId="9" hidden="1"/>
    <cellStyle name="Followed Hyperlink" xfId="2701" builtinId="9" hidden="1"/>
    <cellStyle name="Followed Hyperlink" xfId="2703" builtinId="9" hidden="1"/>
    <cellStyle name="Followed Hyperlink" xfId="2705" builtinId="9" hidden="1"/>
    <cellStyle name="Followed Hyperlink" xfId="2707" builtinId="9" hidden="1"/>
    <cellStyle name="Followed Hyperlink" xfId="2709" builtinId="9" hidden="1"/>
    <cellStyle name="Followed Hyperlink" xfId="2711" builtinId="9" hidden="1"/>
    <cellStyle name="Followed Hyperlink" xfId="2713" builtinId="9" hidden="1"/>
    <cellStyle name="Followed Hyperlink" xfId="2715" builtinId="9" hidden="1"/>
    <cellStyle name="Followed Hyperlink" xfId="2717" builtinId="9" hidden="1"/>
    <cellStyle name="Followed Hyperlink" xfId="2719" builtinId="9" hidden="1"/>
    <cellStyle name="Followed Hyperlink" xfId="2721" builtinId="9" hidden="1"/>
    <cellStyle name="Followed Hyperlink" xfId="2723" builtinId="9" hidden="1"/>
    <cellStyle name="Followed Hyperlink" xfId="2725" builtinId="9" hidden="1"/>
    <cellStyle name="Followed Hyperlink" xfId="2727" builtinId="9" hidden="1"/>
    <cellStyle name="Followed Hyperlink" xfId="2729" builtinId="9" hidden="1"/>
    <cellStyle name="Followed Hyperlink" xfId="2731" builtinId="9" hidden="1"/>
    <cellStyle name="Followed Hyperlink" xfId="2733" builtinId="9" hidden="1"/>
    <cellStyle name="Followed Hyperlink" xfId="2735" builtinId="9" hidden="1"/>
    <cellStyle name="Followed Hyperlink" xfId="2737" builtinId="9" hidden="1"/>
    <cellStyle name="Followed Hyperlink" xfId="2739" builtinId="9" hidden="1"/>
    <cellStyle name="Followed Hyperlink" xfId="2741" builtinId="9" hidden="1"/>
    <cellStyle name="Followed Hyperlink" xfId="2743" builtinId="9" hidden="1"/>
    <cellStyle name="Followed Hyperlink" xfId="2745" builtinId="9" hidden="1"/>
    <cellStyle name="Followed Hyperlink" xfId="2747" builtinId="9" hidden="1"/>
    <cellStyle name="Followed Hyperlink" xfId="2749" builtinId="9" hidden="1"/>
    <cellStyle name="Followed Hyperlink" xfId="2751" builtinId="9" hidden="1"/>
    <cellStyle name="Followed Hyperlink" xfId="2753" builtinId="9" hidden="1"/>
    <cellStyle name="Followed Hyperlink" xfId="2755" builtinId="9" hidden="1"/>
    <cellStyle name="Followed Hyperlink" xfId="2757" builtinId="9" hidden="1"/>
    <cellStyle name="Followed Hyperlink" xfId="2759" builtinId="9" hidden="1"/>
    <cellStyle name="Followed Hyperlink" xfId="2761" builtinId="9" hidden="1"/>
    <cellStyle name="Followed Hyperlink" xfId="2763" builtinId="9" hidden="1"/>
    <cellStyle name="Followed Hyperlink" xfId="2765" builtinId="9" hidden="1"/>
    <cellStyle name="Followed Hyperlink" xfId="2767" builtinId="9" hidden="1"/>
    <cellStyle name="Followed Hyperlink" xfId="2769" builtinId="9" hidden="1"/>
    <cellStyle name="Followed Hyperlink" xfId="2771" builtinId="9" hidden="1"/>
    <cellStyle name="Followed Hyperlink" xfId="2773" builtinId="9" hidden="1"/>
    <cellStyle name="Followed Hyperlink" xfId="2775" builtinId="9" hidden="1"/>
    <cellStyle name="Followed Hyperlink" xfId="2777" builtinId="9" hidden="1"/>
    <cellStyle name="Followed Hyperlink" xfId="2779" builtinId="9" hidden="1"/>
    <cellStyle name="Followed Hyperlink" xfId="2781" builtinId="9" hidden="1"/>
    <cellStyle name="Followed Hyperlink" xfId="2783" builtinId="9" hidden="1"/>
    <cellStyle name="Followed Hyperlink" xfId="2785" builtinId="9" hidden="1"/>
    <cellStyle name="Followed Hyperlink" xfId="2787" builtinId="9" hidden="1"/>
    <cellStyle name="Followed Hyperlink" xfId="2789" builtinId="9" hidden="1"/>
    <cellStyle name="Followed Hyperlink" xfId="2791" builtinId="9" hidden="1"/>
    <cellStyle name="Followed Hyperlink" xfId="2793" builtinId="9" hidden="1"/>
    <cellStyle name="Followed Hyperlink" xfId="2795" builtinId="9" hidden="1"/>
    <cellStyle name="Followed Hyperlink" xfId="2797" builtinId="9" hidden="1"/>
    <cellStyle name="Followed Hyperlink" xfId="2799" builtinId="9" hidden="1"/>
    <cellStyle name="Followed Hyperlink" xfId="2801" builtinId="9" hidden="1"/>
    <cellStyle name="Followed Hyperlink" xfId="2803" builtinId="9" hidden="1"/>
    <cellStyle name="Followed Hyperlink" xfId="2805" builtinId="9" hidden="1"/>
    <cellStyle name="Followed Hyperlink" xfId="2807" builtinId="9" hidden="1"/>
    <cellStyle name="Followed Hyperlink" xfId="2809" builtinId="9" hidden="1"/>
    <cellStyle name="Followed Hyperlink" xfId="2811" builtinId="9" hidden="1"/>
    <cellStyle name="Followed Hyperlink" xfId="2813" builtinId="9" hidden="1"/>
    <cellStyle name="Followed Hyperlink" xfId="2815" builtinId="9" hidden="1"/>
    <cellStyle name="Followed Hyperlink" xfId="2817" builtinId="9" hidden="1"/>
    <cellStyle name="Followed Hyperlink" xfId="2819" builtinId="9" hidden="1"/>
    <cellStyle name="Followed Hyperlink" xfId="2821" builtinId="9" hidden="1"/>
    <cellStyle name="Followed Hyperlink" xfId="2823" builtinId="9" hidden="1"/>
    <cellStyle name="Followed Hyperlink" xfId="2825" builtinId="9" hidden="1"/>
    <cellStyle name="Followed Hyperlink" xfId="2827" builtinId="9" hidden="1"/>
    <cellStyle name="Followed Hyperlink" xfId="2829" builtinId="9" hidden="1"/>
    <cellStyle name="Followed Hyperlink" xfId="2831" builtinId="9" hidden="1"/>
    <cellStyle name="Followed Hyperlink" xfId="2833" builtinId="9" hidden="1"/>
    <cellStyle name="Followed Hyperlink" xfId="2835" builtinId="9" hidden="1"/>
    <cellStyle name="Followed Hyperlink" xfId="2837" builtinId="9" hidden="1"/>
    <cellStyle name="Followed Hyperlink" xfId="2839" builtinId="9" hidden="1"/>
    <cellStyle name="Followed Hyperlink" xfId="2841" builtinId="9" hidden="1"/>
    <cellStyle name="Followed Hyperlink" xfId="2843" builtinId="9" hidden="1"/>
    <cellStyle name="Followed Hyperlink" xfId="2845" builtinId="9" hidden="1"/>
    <cellStyle name="Followed Hyperlink" xfId="2847" builtinId="9" hidden="1"/>
    <cellStyle name="Followed Hyperlink" xfId="2849" builtinId="9" hidden="1"/>
    <cellStyle name="Followed Hyperlink" xfId="2851" builtinId="9" hidden="1"/>
    <cellStyle name="Followed Hyperlink" xfId="2853" builtinId="9" hidden="1"/>
    <cellStyle name="Followed Hyperlink" xfId="2855" builtinId="9" hidden="1"/>
    <cellStyle name="Followed Hyperlink" xfId="2857" builtinId="9" hidden="1"/>
    <cellStyle name="Followed Hyperlink" xfId="2859" builtinId="9" hidden="1"/>
    <cellStyle name="Followed Hyperlink" xfId="2861" builtinId="9" hidden="1"/>
    <cellStyle name="Followed Hyperlink" xfId="2863" builtinId="9" hidden="1"/>
    <cellStyle name="Followed Hyperlink" xfId="2865" builtinId="9" hidden="1"/>
    <cellStyle name="Followed Hyperlink" xfId="2867" builtinId="9" hidden="1"/>
    <cellStyle name="Followed Hyperlink" xfId="2869" builtinId="9" hidden="1"/>
    <cellStyle name="Followed Hyperlink" xfId="2871" builtinId="9" hidden="1"/>
    <cellStyle name="Followed Hyperlink" xfId="2873" builtinId="9" hidden="1"/>
    <cellStyle name="Followed Hyperlink" xfId="2875" builtinId="9" hidden="1"/>
    <cellStyle name="Followed Hyperlink" xfId="2877" builtinId="9" hidden="1"/>
    <cellStyle name="Followed Hyperlink" xfId="2879" builtinId="9" hidden="1"/>
    <cellStyle name="Followed Hyperlink" xfId="2881" builtinId="9" hidden="1"/>
    <cellStyle name="Followed Hyperlink" xfId="2883" builtinId="9" hidden="1"/>
    <cellStyle name="Followed Hyperlink" xfId="2885" builtinId="9" hidden="1"/>
    <cellStyle name="Followed Hyperlink" xfId="2887" builtinId="9" hidden="1"/>
    <cellStyle name="Followed Hyperlink" xfId="2889" builtinId="9" hidden="1"/>
    <cellStyle name="Followed Hyperlink" xfId="2891" builtinId="9" hidden="1"/>
    <cellStyle name="Followed Hyperlink" xfId="2893" builtinId="9" hidden="1"/>
    <cellStyle name="Followed Hyperlink" xfId="2895" builtinId="9" hidden="1"/>
    <cellStyle name="Followed Hyperlink" xfId="2897" builtinId="9" hidden="1"/>
    <cellStyle name="Followed Hyperlink" xfId="2899" builtinId="9" hidden="1"/>
    <cellStyle name="Followed Hyperlink" xfId="2901" builtinId="9" hidden="1"/>
    <cellStyle name="Followed Hyperlink" xfId="2903" builtinId="9" hidden="1"/>
    <cellStyle name="Followed Hyperlink" xfId="2905" builtinId="9" hidden="1"/>
    <cellStyle name="Followed Hyperlink" xfId="2907" builtinId="9" hidden="1"/>
    <cellStyle name="Followed Hyperlink" xfId="2909" builtinId="9" hidden="1"/>
    <cellStyle name="Followed Hyperlink" xfId="2911" builtinId="9" hidden="1"/>
    <cellStyle name="Followed Hyperlink" xfId="2913" builtinId="9" hidden="1"/>
    <cellStyle name="Followed Hyperlink" xfId="2915" builtinId="9" hidden="1"/>
    <cellStyle name="Followed Hyperlink" xfId="2917" builtinId="9" hidden="1"/>
    <cellStyle name="Followed Hyperlink" xfId="2919" builtinId="9" hidden="1"/>
    <cellStyle name="Followed Hyperlink" xfId="2921" builtinId="9" hidden="1"/>
    <cellStyle name="Followed Hyperlink" xfId="2923" builtinId="9" hidden="1"/>
    <cellStyle name="Followed Hyperlink" xfId="2925" builtinId="9" hidden="1"/>
    <cellStyle name="Followed Hyperlink" xfId="2927" builtinId="9" hidden="1"/>
    <cellStyle name="Followed Hyperlink" xfId="2929" builtinId="9" hidden="1"/>
    <cellStyle name="Followed Hyperlink" xfId="2931" builtinId="9" hidden="1"/>
    <cellStyle name="Followed Hyperlink" xfId="2933" builtinId="9" hidden="1"/>
    <cellStyle name="Followed Hyperlink" xfId="2935" builtinId="9" hidden="1"/>
    <cellStyle name="Followed Hyperlink" xfId="2937" builtinId="9" hidden="1"/>
    <cellStyle name="Followed Hyperlink" xfId="2939" builtinId="9" hidden="1"/>
    <cellStyle name="Followed Hyperlink" xfId="2941" builtinId="9" hidden="1"/>
    <cellStyle name="Followed Hyperlink" xfId="2943" builtinId="9" hidden="1"/>
    <cellStyle name="Followed Hyperlink" xfId="2945" builtinId="9" hidden="1"/>
    <cellStyle name="Followed Hyperlink" xfId="2947" builtinId="9" hidden="1"/>
    <cellStyle name="Followed Hyperlink" xfId="2949" builtinId="9" hidden="1"/>
    <cellStyle name="Followed Hyperlink" xfId="2951" builtinId="9" hidden="1"/>
    <cellStyle name="Followed Hyperlink" xfId="2953" builtinId="9" hidden="1"/>
    <cellStyle name="Followed Hyperlink" xfId="2955" builtinId="9" hidden="1"/>
    <cellStyle name="Followed Hyperlink" xfId="2957" builtinId="9" hidden="1"/>
    <cellStyle name="Followed Hyperlink" xfId="2959" builtinId="9" hidden="1"/>
    <cellStyle name="Followed Hyperlink" xfId="2961" builtinId="9" hidden="1"/>
    <cellStyle name="Followed Hyperlink" xfId="2963" builtinId="9" hidden="1"/>
    <cellStyle name="Followed Hyperlink" xfId="2965" builtinId="9" hidden="1"/>
    <cellStyle name="Followed Hyperlink" xfId="2967" builtinId="9" hidden="1"/>
    <cellStyle name="Followed Hyperlink" xfId="2969" builtinId="9" hidden="1"/>
    <cellStyle name="Followed Hyperlink" xfId="2971" builtinId="9" hidden="1"/>
    <cellStyle name="Followed Hyperlink" xfId="2973" builtinId="9" hidden="1"/>
    <cellStyle name="Followed Hyperlink" xfId="2975" builtinId="9" hidden="1"/>
    <cellStyle name="Followed Hyperlink" xfId="2977" builtinId="9" hidden="1"/>
    <cellStyle name="Followed Hyperlink" xfId="2979" builtinId="9" hidden="1"/>
    <cellStyle name="Followed Hyperlink" xfId="2981" builtinId="9" hidden="1"/>
    <cellStyle name="Followed Hyperlink" xfId="2983" builtinId="9" hidden="1"/>
    <cellStyle name="Followed Hyperlink" xfId="2985" builtinId="9" hidden="1"/>
    <cellStyle name="Followed Hyperlink" xfId="2987" builtinId="9" hidden="1"/>
    <cellStyle name="Followed Hyperlink" xfId="2989" builtinId="9" hidden="1"/>
    <cellStyle name="Followed Hyperlink" xfId="2991" builtinId="9" hidden="1"/>
    <cellStyle name="Followed Hyperlink" xfId="2993" builtinId="9" hidden="1"/>
    <cellStyle name="Followed Hyperlink" xfId="2995" builtinId="9" hidden="1"/>
    <cellStyle name="Followed Hyperlink" xfId="2997" builtinId="9" hidden="1"/>
    <cellStyle name="Followed Hyperlink" xfId="2999" builtinId="9" hidden="1"/>
    <cellStyle name="Followed Hyperlink" xfId="3001" builtinId="9" hidden="1"/>
    <cellStyle name="Followed Hyperlink" xfId="3003" builtinId="9" hidden="1"/>
    <cellStyle name="Followed Hyperlink" xfId="3005" builtinId="9" hidden="1"/>
    <cellStyle name="Followed Hyperlink" xfId="3007" builtinId="9" hidden="1"/>
    <cellStyle name="Followed Hyperlink" xfId="3009" builtinId="9" hidden="1"/>
    <cellStyle name="Followed Hyperlink" xfId="3011" builtinId="9" hidden="1"/>
    <cellStyle name="Followed Hyperlink" xfId="3013" builtinId="9" hidden="1"/>
    <cellStyle name="Followed Hyperlink" xfId="3015" builtinId="9" hidden="1"/>
    <cellStyle name="Followed Hyperlink" xfId="3017" builtinId="9" hidden="1"/>
    <cellStyle name="Followed Hyperlink" xfId="3019" builtinId="9" hidden="1"/>
    <cellStyle name="Followed Hyperlink" xfId="3021" builtinId="9" hidden="1"/>
    <cellStyle name="Followed Hyperlink" xfId="3023" builtinId="9" hidden="1"/>
    <cellStyle name="Followed Hyperlink" xfId="3025" builtinId="9" hidden="1"/>
    <cellStyle name="Followed Hyperlink" xfId="3027" builtinId="9" hidden="1"/>
    <cellStyle name="Followed Hyperlink" xfId="3029" builtinId="9" hidden="1"/>
    <cellStyle name="Followed Hyperlink" xfId="3031" builtinId="9" hidden="1"/>
    <cellStyle name="Followed Hyperlink" xfId="3033" builtinId="9" hidden="1"/>
    <cellStyle name="Followed Hyperlink" xfId="3035" builtinId="9" hidden="1"/>
    <cellStyle name="Followed Hyperlink" xfId="3037" builtinId="9" hidden="1"/>
    <cellStyle name="Followed Hyperlink" xfId="3039" builtinId="9" hidden="1"/>
    <cellStyle name="Followed Hyperlink" xfId="3041" builtinId="9" hidden="1"/>
    <cellStyle name="Followed Hyperlink" xfId="3043" builtinId="9" hidden="1"/>
    <cellStyle name="Followed Hyperlink" xfId="3045" builtinId="9" hidden="1"/>
    <cellStyle name="Followed Hyperlink" xfId="3047" builtinId="9" hidden="1"/>
    <cellStyle name="Followed Hyperlink" xfId="3049" builtinId="9" hidden="1"/>
    <cellStyle name="Followed Hyperlink" xfId="3051" builtinId="9" hidden="1"/>
    <cellStyle name="Followed Hyperlink" xfId="3053" builtinId="9" hidden="1"/>
    <cellStyle name="Followed Hyperlink" xfId="3055" builtinId="9" hidden="1"/>
    <cellStyle name="Followed Hyperlink" xfId="3057" builtinId="9" hidden="1"/>
    <cellStyle name="Followed Hyperlink" xfId="3059" builtinId="9" hidden="1"/>
    <cellStyle name="Followed Hyperlink" xfId="3061" builtinId="9" hidden="1"/>
    <cellStyle name="Followed Hyperlink" xfId="3063" builtinId="9" hidden="1"/>
    <cellStyle name="Followed Hyperlink" xfId="3065" builtinId="9" hidden="1"/>
    <cellStyle name="Followed Hyperlink" xfId="3067" builtinId="9" hidden="1"/>
    <cellStyle name="Followed Hyperlink" xfId="3069" builtinId="9" hidden="1"/>
    <cellStyle name="Followed Hyperlink" xfId="3071" builtinId="9" hidden="1"/>
    <cellStyle name="Followed Hyperlink" xfId="3073" builtinId="9" hidden="1"/>
    <cellStyle name="Followed Hyperlink" xfId="3075" builtinId="9" hidden="1"/>
    <cellStyle name="Followed Hyperlink" xfId="3077" builtinId="9" hidden="1"/>
    <cellStyle name="Followed Hyperlink" xfId="3079" builtinId="9" hidden="1"/>
    <cellStyle name="Followed Hyperlink" xfId="3081" builtinId="9" hidden="1"/>
    <cellStyle name="Followed Hyperlink" xfId="3083" builtinId="9" hidden="1"/>
    <cellStyle name="Followed Hyperlink" xfId="3085" builtinId="9" hidden="1"/>
    <cellStyle name="Followed Hyperlink" xfId="3087" builtinId="9" hidden="1"/>
    <cellStyle name="Followed Hyperlink" xfId="3089" builtinId="9" hidden="1"/>
    <cellStyle name="Followed Hyperlink" xfId="3091" builtinId="9" hidden="1"/>
    <cellStyle name="Followed Hyperlink" xfId="3093" builtinId="9" hidden="1"/>
    <cellStyle name="Followed Hyperlink" xfId="3095" builtinId="9" hidden="1"/>
    <cellStyle name="Followed Hyperlink" xfId="3097" builtinId="9" hidden="1"/>
    <cellStyle name="Followed Hyperlink" xfId="3099" builtinId="9" hidden="1"/>
    <cellStyle name="Followed Hyperlink" xfId="3101" builtinId="9" hidden="1"/>
    <cellStyle name="Followed Hyperlink" xfId="3103" builtinId="9" hidden="1"/>
    <cellStyle name="Followed Hyperlink" xfId="3105" builtinId="9" hidden="1"/>
    <cellStyle name="Followed Hyperlink" xfId="3107" builtinId="9" hidden="1"/>
    <cellStyle name="Followed Hyperlink" xfId="3109" builtinId="9" hidden="1"/>
    <cellStyle name="Followed Hyperlink" xfId="3111" builtinId="9" hidden="1"/>
    <cellStyle name="Followed Hyperlink" xfId="3113" builtinId="9" hidden="1"/>
    <cellStyle name="Followed Hyperlink" xfId="3115" builtinId="9" hidden="1"/>
    <cellStyle name="Followed Hyperlink" xfId="3117" builtinId="9" hidden="1"/>
    <cellStyle name="Followed Hyperlink" xfId="3119" builtinId="9" hidden="1"/>
    <cellStyle name="Followed Hyperlink" xfId="3121" builtinId="9" hidden="1"/>
    <cellStyle name="Followed Hyperlink" xfId="3123" builtinId="9" hidden="1"/>
    <cellStyle name="Followed Hyperlink" xfId="3125" builtinId="9" hidden="1"/>
    <cellStyle name="Followed Hyperlink" xfId="3127" builtinId="9" hidden="1"/>
    <cellStyle name="Followed Hyperlink" xfId="3129" builtinId="9" hidden="1"/>
    <cellStyle name="Followed Hyperlink" xfId="3131" builtinId="9" hidden="1"/>
    <cellStyle name="Followed Hyperlink" xfId="3133" builtinId="9" hidden="1"/>
    <cellStyle name="Followed Hyperlink" xfId="3135" builtinId="9" hidden="1"/>
    <cellStyle name="Followed Hyperlink" xfId="3137" builtinId="9" hidden="1"/>
    <cellStyle name="Followed Hyperlink" xfId="3139" builtinId="9" hidden="1"/>
    <cellStyle name="Followed Hyperlink" xfId="3141" builtinId="9" hidden="1"/>
    <cellStyle name="Followed Hyperlink" xfId="3143" builtinId="9" hidden="1"/>
    <cellStyle name="Followed Hyperlink" xfId="3145" builtinId="9" hidden="1"/>
    <cellStyle name="Followed Hyperlink" xfId="3147" builtinId="9" hidden="1"/>
    <cellStyle name="Followed Hyperlink" xfId="3149" builtinId="9" hidden="1"/>
    <cellStyle name="Followed Hyperlink" xfId="3151" builtinId="9" hidden="1"/>
    <cellStyle name="Followed Hyperlink" xfId="3153" builtinId="9" hidden="1"/>
    <cellStyle name="Followed Hyperlink" xfId="3155" builtinId="9" hidden="1"/>
    <cellStyle name="Followed Hyperlink" xfId="3157" builtinId="9" hidden="1"/>
    <cellStyle name="Followed Hyperlink" xfId="3159" builtinId="9" hidden="1"/>
    <cellStyle name="Followed Hyperlink" xfId="3161" builtinId="9" hidden="1"/>
    <cellStyle name="Followed Hyperlink" xfId="3163" builtinId="9" hidden="1"/>
    <cellStyle name="Followed Hyperlink" xfId="3165" builtinId="9" hidden="1"/>
    <cellStyle name="Followed Hyperlink" xfId="3167" builtinId="9" hidden="1"/>
    <cellStyle name="Followed Hyperlink" xfId="3169" builtinId="9" hidden="1"/>
    <cellStyle name="Followed Hyperlink" xfId="3171" builtinId="9" hidden="1"/>
    <cellStyle name="Followed Hyperlink" xfId="3173" builtinId="9" hidden="1"/>
    <cellStyle name="Followed Hyperlink" xfId="3175" builtinId="9" hidden="1"/>
    <cellStyle name="Followed Hyperlink" xfId="3177" builtinId="9" hidden="1"/>
    <cellStyle name="Followed Hyperlink" xfId="3179" builtinId="9" hidden="1"/>
    <cellStyle name="Followed Hyperlink" xfId="3181" builtinId="9" hidden="1"/>
    <cellStyle name="Followed Hyperlink" xfId="3183" builtinId="9" hidden="1"/>
    <cellStyle name="Followed Hyperlink" xfId="3185" builtinId="9" hidden="1"/>
    <cellStyle name="Followed Hyperlink" xfId="3187" builtinId="9" hidden="1"/>
    <cellStyle name="Followed Hyperlink" xfId="3189" builtinId="9" hidden="1"/>
    <cellStyle name="Followed Hyperlink" xfId="3191" builtinId="9" hidden="1"/>
    <cellStyle name="Followed Hyperlink" xfId="3193" builtinId="9" hidden="1"/>
    <cellStyle name="Followed Hyperlink" xfId="3195" builtinId="9" hidden="1"/>
    <cellStyle name="Followed Hyperlink" xfId="3197" builtinId="9" hidden="1"/>
    <cellStyle name="Followed Hyperlink" xfId="3199" builtinId="9" hidden="1"/>
    <cellStyle name="Followed Hyperlink" xfId="3201" builtinId="9" hidden="1"/>
    <cellStyle name="Followed Hyperlink" xfId="3203" builtinId="9" hidden="1"/>
    <cellStyle name="Followed Hyperlink" xfId="3205" builtinId="9" hidden="1"/>
    <cellStyle name="Followed Hyperlink" xfId="3207" builtinId="9" hidden="1"/>
    <cellStyle name="Followed Hyperlink" xfId="3209" builtinId="9" hidden="1"/>
    <cellStyle name="Followed Hyperlink" xfId="3211" builtinId="9" hidden="1"/>
    <cellStyle name="Followed Hyperlink" xfId="3213" builtinId="9" hidden="1"/>
    <cellStyle name="Followed Hyperlink" xfId="3215" builtinId="9" hidden="1"/>
    <cellStyle name="Followed Hyperlink" xfId="3217" builtinId="9" hidden="1"/>
    <cellStyle name="Followed Hyperlink" xfId="3219" builtinId="9" hidden="1"/>
    <cellStyle name="Followed Hyperlink" xfId="3221" builtinId="9" hidden="1"/>
    <cellStyle name="Followed Hyperlink" xfId="3223" builtinId="9" hidden="1"/>
    <cellStyle name="Followed Hyperlink" xfId="3225" builtinId="9" hidden="1"/>
    <cellStyle name="Followed Hyperlink" xfId="3227" builtinId="9" hidden="1"/>
    <cellStyle name="Followed Hyperlink" xfId="3229" builtinId="9" hidden="1"/>
    <cellStyle name="Followed Hyperlink" xfId="3231" builtinId="9" hidden="1"/>
    <cellStyle name="Followed Hyperlink" xfId="3233" builtinId="9" hidden="1"/>
    <cellStyle name="Followed Hyperlink" xfId="3235" builtinId="9" hidden="1"/>
    <cellStyle name="Followed Hyperlink" xfId="3237" builtinId="9" hidden="1"/>
    <cellStyle name="Followed Hyperlink" xfId="3239" builtinId="9" hidden="1"/>
    <cellStyle name="Followed Hyperlink" xfId="3241" builtinId="9" hidden="1"/>
    <cellStyle name="Followed Hyperlink" xfId="3243" builtinId="9" hidden="1"/>
    <cellStyle name="Followed Hyperlink" xfId="3245" builtinId="9" hidden="1"/>
    <cellStyle name="Followed Hyperlink" xfId="3247" builtinId="9" hidden="1"/>
    <cellStyle name="Followed Hyperlink" xfId="3249" builtinId="9" hidden="1"/>
    <cellStyle name="Followed Hyperlink" xfId="3251" builtinId="9" hidden="1"/>
    <cellStyle name="Followed Hyperlink" xfId="3253" builtinId="9" hidden="1"/>
    <cellStyle name="Followed Hyperlink" xfId="3255" builtinId="9" hidden="1"/>
    <cellStyle name="Followed Hyperlink" xfId="3257" builtinId="9" hidden="1"/>
    <cellStyle name="Followed Hyperlink" xfId="3259" builtinId="9" hidden="1"/>
    <cellStyle name="Followed Hyperlink" xfId="3261" builtinId="9" hidden="1"/>
    <cellStyle name="Followed Hyperlink" xfId="3263" builtinId="9" hidden="1"/>
    <cellStyle name="Followed Hyperlink" xfId="3265" builtinId="9" hidden="1"/>
    <cellStyle name="Followed Hyperlink" xfId="3267" builtinId="9" hidden="1"/>
    <cellStyle name="Followed Hyperlink" xfId="3269" builtinId="9" hidden="1"/>
    <cellStyle name="Followed Hyperlink" xfId="3271" builtinId="9" hidden="1"/>
    <cellStyle name="Followed Hyperlink" xfId="3273" builtinId="9" hidden="1"/>
    <cellStyle name="Followed Hyperlink" xfId="3275" builtinId="9" hidden="1"/>
    <cellStyle name="Followed Hyperlink" xfId="3277" builtinId="9" hidden="1"/>
    <cellStyle name="Followed Hyperlink" xfId="3279" builtinId="9" hidden="1"/>
    <cellStyle name="Followed Hyperlink" xfId="3281" builtinId="9" hidden="1"/>
    <cellStyle name="Followed Hyperlink" xfId="3283" builtinId="9" hidden="1"/>
    <cellStyle name="Followed Hyperlink" xfId="3285" builtinId="9" hidden="1"/>
    <cellStyle name="Followed Hyperlink" xfId="3287" builtinId="9" hidden="1"/>
    <cellStyle name="Followed Hyperlink" xfId="3289" builtinId="9" hidden="1"/>
    <cellStyle name="Followed Hyperlink" xfId="3291" builtinId="9" hidden="1"/>
    <cellStyle name="Followed Hyperlink" xfId="3293" builtinId="9" hidden="1"/>
    <cellStyle name="Followed Hyperlink" xfId="3295" builtinId="9" hidden="1"/>
    <cellStyle name="Followed Hyperlink" xfId="3297" builtinId="9" hidden="1"/>
    <cellStyle name="Followed Hyperlink" xfId="3299" builtinId="9" hidden="1"/>
    <cellStyle name="Followed Hyperlink" xfId="3301" builtinId="9" hidden="1"/>
    <cellStyle name="Followed Hyperlink" xfId="3303" builtinId="9" hidden="1"/>
    <cellStyle name="Followed Hyperlink" xfId="3305" builtinId="9" hidden="1"/>
    <cellStyle name="Followed Hyperlink" xfId="3307" builtinId="9" hidden="1"/>
    <cellStyle name="Followed Hyperlink" xfId="3309" builtinId="9" hidden="1"/>
    <cellStyle name="Followed Hyperlink" xfId="3311" builtinId="9" hidden="1"/>
    <cellStyle name="Followed Hyperlink" xfId="3313" builtinId="9" hidden="1"/>
    <cellStyle name="Followed Hyperlink" xfId="3315" builtinId="9" hidden="1"/>
    <cellStyle name="Followed Hyperlink" xfId="3317" builtinId="9" hidden="1"/>
    <cellStyle name="Followed Hyperlink" xfId="3319" builtinId="9" hidden="1"/>
    <cellStyle name="Followed Hyperlink" xfId="3321" builtinId="9" hidden="1"/>
    <cellStyle name="Followed Hyperlink" xfId="3323" builtinId="9" hidden="1"/>
    <cellStyle name="Followed Hyperlink" xfId="3325" builtinId="9" hidden="1"/>
    <cellStyle name="Followed Hyperlink" xfId="3327" builtinId="9" hidden="1"/>
    <cellStyle name="Followed Hyperlink" xfId="3329" builtinId="9" hidden="1"/>
    <cellStyle name="Followed Hyperlink" xfId="3331" builtinId="9" hidden="1"/>
    <cellStyle name="Followed Hyperlink" xfId="3333" builtinId="9" hidden="1"/>
    <cellStyle name="Followed Hyperlink" xfId="3335" builtinId="9" hidden="1"/>
    <cellStyle name="Followed Hyperlink" xfId="3337" builtinId="9" hidden="1"/>
    <cellStyle name="Followed Hyperlink" xfId="3339" builtinId="9" hidden="1"/>
    <cellStyle name="Followed Hyperlink" xfId="3341" builtinId="9" hidden="1"/>
    <cellStyle name="Followed Hyperlink" xfId="3343" builtinId="9" hidden="1"/>
    <cellStyle name="Followed Hyperlink" xfId="3345" builtinId="9" hidden="1"/>
    <cellStyle name="Followed Hyperlink" xfId="3347" builtinId="9" hidden="1"/>
    <cellStyle name="Followed Hyperlink" xfId="3349" builtinId="9" hidden="1"/>
    <cellStyle name="Followed Hyperlink" xfId="3351" builtinId="9" hidden="1"/>
    <cellStyle name="Followed Hyperlink" xfId="3353" builtinId="9" hidden="1"/>
    <cellStyle name="Followed Hyperlink" xfId="3355" builtinId="9" hidden="1"/>
    <cellStyle name="Followed Hyperlink" xfId="3357" builtinId="9" hidden="1"/>
    <cellStyle name="Followed Hyperlink" xfId="3359" builtinId="9" hidden="1"/>
    <cellStyle name="Followed Hyperlink" xfId="3361" builtinId="9" hidden="1"/>
    <cellStyle name="Followed Hyperlink" xfId="3363" builtinId="9" hidden="1"/>
    <cellStyle name="Followed Hyperlink" xfId="3365" builtinId="9" hidden="1"/>
    <cellStyle name="Followed Hyperlink" xfId="3367" builtinId="9" hidden="1"/>
    <cellStyle name="Followed Hyperlink" xfId="3369" builtinId="9" hidden="1"/>
    <cellStyle name="Followed Hyperlink" xfId="3371" builtinId="9" hidden="1"/>
    <cellStyle name="Followed Hyperlink" xfId="3373" builtinId="9" hidden="1"/>
    <cellStyle name="Followed Hyperlink" xfId="3375" builtinId="9" hidden="1"/>
    <cellStyle name="Followed Hyperlink" xfId="3377" builtinId="9" hidden="1"/>
    <cellStyle name="Followed Hyperlink" xfId="3379" builtinId="9" hidden="1"/>
    <cellStyle name="Followed Hyperlink" xfId="3381" builtinId="9" hidden="1"/>
    <cellStyle name="Followed Hyperlink" xfId="3383" builtinId="9" hidden="1"/>
    <cellStyle name="Followed Hyperlink" xfId="3385" builtinId="9" hidden="1"/>
    <cellStyle name="Followed Hyperlink" xfId="3387" builtinId="9" hidden="1"/>
    <cellStyle name="Followed Hyperlink" xfId="3389" builtinId="9" hidden="1"/>
    <cellStyle name="Followed Hyperlink" xfId="3391" builtinId="9" hidden="1"/>
    <cellStyle name="Followed Hyperlink" xfId="3393" builtinId="9" hidden="1"/>
    <cellStyle name="Followed Hyperlink" xfId="3395" builtinId="9" hidden="1"/>
    <cellStyle name="Followed Hyperlink" xfId="3397" builtinId="9" hidden="1"/>
    <cellStyle name="Followed Hyperlink" xfId="3399" builtinId="9" hidden="1"/>
    <cellStyle name="Followed Hyperlink" xfId="3401" builtinId="9" hidden="1"/>
    <cellStyle name="Followed Hyperlink" xfId="3403" builtinId="9" hidden="1"/>
    <cellStyle name="Followed Hyperlink" xfId="3405" builtinId="9" hidden="1"/>
    <cellStyle name="Followed Hyperlink" xfId="3407" builtinId="9" hidden="1"/>
    <cellStyle name="Followed Hyperlink" xfId="3409" builtinId="9" hidden="1"/>
    <cellStyle name="Followed Hyperlink" xfId="3411" builtinId="9" hidden="1"/>
    <cellStyle name="Followed Hyperlink" xfId="3413" builtinId="9" hidden="1"/>
    <cellStyle name="Followed Hyperlink" xfId="3415" builtinId="9" hidden="1"/>
    <cellStyle name="Followed Hyperlink" xfId="3417" builtinId="9" hidden="1"/>
    <cellStyle name="Followed Hyperlink" xfId="3419" builtinId="9" hidden="1"/>
    <cellStyle name="Followed Hyperlink" xfId="3421" builtinId="9" hidden="1"/>
    <cellStyle name="Followed Hyperlink" xfId="3423" builtinId="9" hidden="1"/>
    <cellStyle name="Followed Hyperlink" xfId="3425" builtinId="9" hidden="1"/>
    <cellStyle name="Followed Hyperlink" xfId="3427" builtinId="9" hidden="1"/>
    <cellStyle name="Followed Hyperlink" xfId="3429" builtinId="9" hidden="1"/>
    <cellStyle name="Followed Hyperlink" xfId="3431" builtinId="9" hidden="1"/>
    <cellStyle name="Followed Hyperlink" xfId="3433" builtinId="9" hidden="1"/>
    <cellStyle name="Followed Hyperlink" xfId="3435" builtinId="9" hidden="1"/>
    <cellStyle name="Followed Hyperlink" xfId="3437" builtinId="9" hidden="1"/>
    <cellStyle name="Followed Hyperlink" xfId="3439" builtinId="9" hidden="1"/>
    <cellStyle name="Followed Hyperlink" xfId="3441" builtinId="9" hidden="1"/>
    <cellStyle name="Followed Hyperlink" xfId="3443" builtinId="9" hidden="1"/>
    <cellStyle name="Followed Hyperlink" xfId="3445" builtinId="9" hidden="1"/>
    <cellStyle name="Followed Hyperlink" xfId="3447" builtinId="9" hidden="1"/>
    <cellStyle name="Followed Hyperlink" xfId="3449" builtinId="9" hidden="1"/>
    <cellStyle name="Followed Hyperlink" xfId="3451" builtinId="9" hidden="1"/>
    <cellStyle name="Followed Hyperlink" xfId="3453" builtinId="9" hidden="1"/>
    <cellStyle name="Followed Hyperlink" xfId="3455" builtinId="9" hidden="1"/>
    <cellStyle name="Followed Hyperlink" xfId="3457" builtinId="9" hidden="1"/>
    <cellStyle name="Followed Hyperlink" xfId="3459" builtinId="9" hidden="1"/>
    <cellStyle name="Followed Hyperlink" xfId="3461" builtinId="9" hidden="1"/>
    <cellStyle name="Followed Hyperlink" xfId="3463" builtinId="9" hidden="1"/>
    <cellStyle name="Followed Hyperlink" xfId="3465" builtinId="9" hidden="1"/>
    <cellStyle name="Followed Hyperlink" xfId="3467" builtinId="9" hidden="1"/>
    <cellStyle name="Followed Hyperlink" xfId="3469" builtinId="9" hidden="1"/>
    <cellStyle name="Followed Hyperlink" xfId="3471" builtinId="9" hidden="1"/>
    <cellStyle name="Followed Hyperlink" xfId="3473" builtinId="9" hidden="1"/>
    <cellStyle name="Followed Hyperlink" xfId="3475" builtinId="9" hidden="1"/>
    <cellStyle name="Followed Hyperlink" xfId="3477" builtinId="9" hidden="1"/>
    <cellStyle name="Followed Hyperlink" xfId="3479" builtinId="9" hidden="1"/>
    <cellStyle name="Followed Hyperlink" xfId="3481" builtinId="9" hidden="1"/>
    <cellStyle name="Followed Hyperlink" xfId="3483" builtinId="9" hidden="1"/>
    <cellStyle name="Followed Hyperlink" xfId="3485" builtinId="9" hidden="1"/>
    <cellStyle name="Followed Hyperlink" xfId="3487" builtinId="9" hidden="1"/>
    <cellStyle name="Followed Hyperlink" xfId="3489" builtinId="9" hidden="1"/>
    <cellStyle name="Followed Hyperlink" xfId="3491" builtinId="9" hidden="1"/>
    <cellStyle name="Followed Hyperlink" xfId="3493" builtinId="9" hidden="1"/>
    <cellStyle name="Followed Hyperlink" xfId="3495" builtinId="9" hidden="1"/>
    <cellStyle name="Followed Hyperlink" xfId="3497" builtinId="9" hidden="1"/>
    <cellStyle name="Followed Hyperlink" xfId="3499" builtinId="9" hidden="1"/>
    <cellStyle name="Followed Hyperlink" xfId="3501" builtinId="9" hidden="1"/>
    <cellStyle name="Followed Hyperlink" xfId="3503" builtinId="9" hidden="1"/>
    <cellStyle name="Followed Hyperlink" xfId="3505" builtinId="9" hidden="1"/>
    <cellStyle name="Followed Hyperlink" xfId="3507" builtinId="9" hidden="1"/>
    <cellStyle name="Followed Hyperlink" xfId="3509" builtinId="9" hidden="1"/>
    <cellStyle name="Followed Hyperlink" xfId="3511" builtinId="9" hidden="1"/>
    <cellStyle name="Followed Hyperlink" xfId="3513" builtinId="9" hidden="1"/>
    <cellStyle name="Followed Hyperlink" xfId="3515" builtinId="9" hidden="1"/>
    <cellStyle name="Followed Hyperlink" xfId="3517" builtinId="9" hidden="1"/>
    <cellStyle name="Followed Hyperlink" xfId="3519" builtinId="9" hidden="1"/>
    <cellStyle name="Followed Hyperlink" xfId="3521" builtinId="9" hidden="1"/>
    <cellStyle name="Followed Hyperlink" xfId="3523" builtinId="9" hidden="1"/>
    <cellStyle name="Followed Hyperlink" xfId="3525" builtinId="9" hidden="1"/>
    <cellStyle name="Followed Hyperlink" xfId="3527" builtinId="9" hidden="1"/>
    <cellStyle name="Followed Hyperlink" xfId="3529" builtinId="9" hidden="1"/>
    <cellStyle name="Followed Hyperlink" xfId="3531" builtinId="9" hidden="1"/>
    <cellStyle name="Followed Hyperlink" xfId="3533" builtinId="9" hidden="1"/>
    <cellStyle name="Followed Hyperlink" xfId="3535" builtinId="9" hidden="1"/>
    <cellStyle name="Followed Hyperlink" xfId="3537" builtinId="9" hidden="1"/>
    <cellStyle name="Followed Hyperlink" xfId="3539" builtinId="9" hidden="1"/>
    <cellStyle name="Followed Hyperlink" xfId="3541" builtinId="9" hidden="1"/>
    <cellStyle name="Followed Hyperlink" xfId="3543" builtinId="9" hidden="1"/>
    <cellStyle name="Followed Hyperlink" xfId="3545" builtinId="9" hidden="1"/>
    <cellStyle name="Followed Hyperlink" xfId="3547" builtinId="9" hidden="1"/>
    <cellStyle name="Followed Hyperlink" xfId="3549" builtinId="9" hidden="1"/>
    <cellStyle name="Followed Hyperlink" xfId="3551" builtinId="9" hidden="1"/>
    <cellStyle name="Followed Hyperlink" xfId="3553" builtinId="9" hidden="1"/>
    <cellStyle name="Followed Hyperlink" xfId="3555" builtinId="9" hidden="1"/>
    <cellStyle name="Followed Hyperlink" xfId="3557" builtinId="9" hidden="1"/>
    <cellStyle name="Followed Hyperlink" xfId="3559" builtinId="9" hidden="1"/>
    <cellStyle name="Followed Hyperlink" xfId="3561" builtinId="9" hidden="1"/>
    <cellStyle name="Followed Hyperlink" xfId="3563" builtinId="9" hidden="1"/>
    <cellStyle name="Followed Hyperlink" xfId="3565" builtinId="9" hidden="1"/>
    <cellStyle name="Followed Hyperlink" xfId="3567" builtinId="9" hidden="1"/>
    <cellStyle name="Followed Hyperlink" xfId="3569" builtinId="9" hidden="1"/>
    <cellStyle name="Followed Hyperlink" xfId="3571" builtinId="9" hidden="1"/>
    <cellStyle name="Followed Hyperlink" xfId="3573" builtinId="9" hidden="1"/>
    <cellStyle name="Followed Hyperlink" xfId="3575" builtinId="9" hidden="1"/>
    <cellStyle name="Followed Hyperlink" xfId="3577" builtinId="9" hidden="1"/>
    <cellStyle name="Followed Hyperlink" xfId="3579" builtinId="9" hidden="1"/>
    <cellStyle name="Followed Hyperlink" xfId="3581" builtinId="9" hidden="1"/>
    <cellStyle name="Followed Hyperlink" xfId="3583" builtinId="9" hidden="1"/>
    <cellStyle name="Followed Hyperlink" xfId="3585" builtinId="9" hidden="1"/>
    <cellStyle name="Followed Hyperlink" xfId="3587" builtinId="9" hidden="1"/>
    <cellStyle name="Followed Hyperlink" xfId="3589" builtinId="9" hidden="1"/>
    <cellStyle name="Followed Hyperlink" xfId="3591" builtinId="9" hidden="1"/>
    <cellStyle name="Followed Hyperlink" xfId="3593" builtinId="9" hidden="1"/>
    <cellStyle name="Followed Hyperlink" xfId="3595" builtinId="9" hidden="1"/>
    <cellStyle name="Followed Hyperlink" xfId="3597" builtinId="9" hidden="1"/>
    <cellStyle name="Followed Hyperlink" xfId="3599" builtinId="9" hidden="1"/>
    <cellStyle name="Followed Hyperlink" xfId="3601" builtinId="9" hidden="1"/>
    <cellStyle name="Followed Hyperlink" xfId="3603" builtinId="9" hidden="1"/>
    <cellStyle name="Followed Hyperlink" xfId="3605" builtinId="9" hidden="1"/>
    <cellStyle name="Followed Hyperlink" xfId="3607" builtinId="9" hidden="1"/>
    <cellStyle name="Followed Hyperlink" xfId="3609" builtinId="9" hidden="1"/>
    <cellStyle name="Followed Hyperlink" xfId="3611" builtinId="9" hidden="1"/>
    <cellStyle name="Followed Hyperlink" xfId="3613" builtinId="9" hidden="1"/>
    <cellStyle name="Followed Hyperlink" xfId="3615" builtinId="9" hidden="1"/>
    <cellStyle name="Followed Hyperlink" xfId="3617" builtinId="9" hidden="1"/>
    <cellStyle name="Followed Hyperlink" xfId="3619" builtinId="9" hidden="1"/>
    <cellStyle name="Followed Hyperlink" xfId="3621" builtinId="9" hidden="1"/>
    <cellStyle name="Followed Hyperlink" xfId="3623" builtinId="9" hidden="1"/>
    <cellStyle name="Followed Hyperlink" xfId="3625" builtinId="9" hidden="1"/>
    <cellStyle name="Followed Hyperlink" xfId="3627" builtinId="9" hidden="1"/>
    <cellStyle name="Followed Hyperlink" xfId="3629" builtinId="9" hidden="1"/>
    <cellStyle name="Followed Hyperlink" xfId="3631" builtinId="9" hidden="1"/>
    <cellStyle name="Followed Hyperlink" xfId="3633" builtinId="9" hidden="1"/>
    <cellStyle name="Followed Hyperlink" xfId="3635" builtinId="9" hidden="1"/>
    <cellStyle name="Followed Hyperlink" xfId="3637" builtinId="9" hidden="1"/>
    <cellStyle name="Followed Hyperlink" xfId="3639" builtinId="9" hidden="1"/>
    <cellStyle name="Followed Hyperlink" xfId="3641" builtinId="9" hidden="1"/>
    <cellStyle name="Followed Hyperlink" xfId="3643" builtinId="9" hidden="1"/>
    <cellStyle name="Followed Hyperlink" xfId="3645" builtinId="9" hidden="1"/>
    <cellStyle name="Followed Hyperlink" xfId="3647" builtinId="9" hidden="1"/>
    <cellStyle name="Followed Hyperlink" xfId="3649" builtinId="9" hidden="1"/>
    <cellStyle name="Followed Hyperlink" xfId="3651" builtinId="9" hidden="1"/>
    <cellStyle name="Followed Hyperlink" xfId="3653" builtinId="9" hidden="1"/>
    <cellStyle name="Followed Hyperlink" xfId="3655" builtinId="9" hidden="1"/>
    <cellStyle name="Followed Hyperlink" xfId="3657" builtinId="9" hidden="1"/>
    <cellStyle name="Followed Hyperlink" xfId="3659" builtinId="9" hidden="1"/>
    <cellStyle name="Followed Hyperlink" xfId="3661" builtinId="9" hidden="1"/>
    <cellStyle name="Followed Hyperlink" xfId="3663" builtinId="9" hidden="1"/>
    <cellStyle name="Followed Hyperlink" xfId="3665" builtinId="9" hidden="1"/>
    <cellStyle name="Followed Hyperlink" xfId="3667" builtinId="9" hidden="1"/>
    <cellStyle name="Followed Hyperlink" xfId="3669" builtinId="9" hidden="1"/>
    <cellStyle name="Followed Hyperlink" xfId="3671" builtinId="9" hidden="1"/>
    <cellStyle name="Followed Hyperlink" xfId="3673" builtinId="9" hidden="1"/>
    <cellStyle name="Followed Hyperlink" xfId="3675" builtinId="9" hidden="1"/>
    <cellStyle name="Followed Hyperlink" xfId="3677" builtinId="9" hidden="1"/>
    <cellStyle name="Followed Hyperlink" xfId="3679" builtinId="9" hidden="1"/>
    <cellStyle name="Followed Hyperlink" xfId="3681" builtinId="9" hidden="1"/>
    <cellStyle name="Followed Hyperlink" xfId="3683" builtinId="9" hidden="1"/>
    <cellStyle name="Followed Hyperlink" xfId="3685" builtinId="9" hidden="1"/>
    <cellStyle name="Followed Hyperlink" xfId="3687" builtinId="9" hidden="1"/>
    <cellStyle name="Followed Hyperlink" xfId="3689" builtinId="9" hidden="1"/>
    <cellStyle name="Followed Hyperlink" xfId="3691" builtinId="9" hidden="1"/>
    <cellStyle name="Followed Hyperlink" xfId="3693" builtinId="9" hidden="1"/>
    <cellStyle name="Followed Hyperlink" xfId="3695" builtinId="9" hidden="1"/>
    <cellStyle name="Followed Hyperlink" xfId="3697" builtinId="9" hidden="1"/>
    <cellStyle name="Followed Hyperlink" xfId="3699" builtinId="9" hidden="1"/>
    <cellStyle name="Followed Hyperlink" xfId="3701" builtinId="9" hidden="1"/>
    <cellStyle name="Followed Hyperlink" xfId="3703" builtinId="9" hidden="1"/>
    <cellStyle name="Followed Hyperlink" xfId="3705" builtinId="9" hidden="1"/>
    <cellStyle name="Followed Hyperlink" xfId="3707" builtinId="9" hidden="1"/>
    <cellStyle name="Followed Hyperlink" xfId="3709" builtinId="9" hidden="1"/>
    <cellStyle name="Followed Hyperlink" xfId="3711" builtinId="9" hidden="1"/>
    <cellStyle name="Followed Hyperlink" xfId="3713" builtinId="9" hidden="1"/>
    <cellStyle name="Followed Hyperlink" xfId="3715" builtinId="9" hidden="1"/>
    <cellStyle name="Followed Hyperlink" xfId="3717" builtinId="9" hidden="1"/>
    <cellStyle name="Followed Hyperlink" xfId="3719" builtinId="9" hidden="1"/>
    <cellStyle name="Followed Hyperlink" xfId="3721" builtinId="9" hidden="1"/>
    <cellStyle name="Followed Hyperlink" xfId="3723" builtinId="9" hidden="1"/>
    <cellStyle name="Followed Hyperlink" xfId="3725" builtinId="9" hidden="1"/>
    <cellStyle name="Followed Hyperlink" xfId="3727" builtinId="9" hidden="1"/>
    <cellStyle name="Followed Hyperlink" xfId="3729" builtinId="9" hidden="1"/>
    <cellStyle name="Followed Hyperlink" xfId="3731" builtinId="9" hidden="1"/>
    <cellStyle name="Followed Hyperlink" xfId="3733" builtinId="9" hidden="1"/>
    <cellStyle name="Followed Hyperlink" xfId="3735" builtinId="9" hidden="1"/>
    <cellStyle name="Followed Hyperlink" xfId="3737" builtinId="9" hidden="1"/>
    <cellStyle name="Followed Hyperlink" xfId="3739" builtinId="9" hidden="1"/>
    <cellStyle name="Followed Hyperlink" xfId="3741" builtinId="9" hidden="1"/>
    <cellStyle name="Followed Hyperlink" xfId="3743" builtinId="9" hidden="1"/>
    <cellStyle name="Followed Hyperlink" xfId="3745" builtinId="9" hidden="1"/>
    <cellStyle name="Followed Hyperlink" xfId="3747" builtinId="9" hidden="1"/>
    <cellStyle name="Followed Hyperlink" xfId="3749" builtinId="9" hidden="1"/>
    <cellStyle name="Followed Hyperlink" xfId="3751" builtinId="9" hidden="1"/>
    <cellStyle name="Followed Hyperlink" xfId="3753" builtinId="9" hidden="1"/>
    <cellStyle name="Followed Hyperlink" xfId="3755" builtinId="9" hidden="1"/>
    <cellStyle name="Followed Hyperlink" xfId="3757" builtinId="9" hidden="1"/>
    <cellStyle name="Followed Hyperlink" xfId="3759" builtinId="9" hidden="1"/>
    <cellStyle name="Followed Hyperlink" xfId="3761" builtinId="9" hidden="1"/>
    <cellStyle name="Followed Hyperlink" xfId="3763" builtinId="9" hidden="1"/>
    <cellStyle name="Followed Hyperlink" xfId="3765" builtinId="9" hidden="1"/>
    <cellStyle name="Followed Hyperlink" xfId="3767" builtinId="9" hidden="1"/>
    <cellStyle name="Followed Hyperlink" xfId="3769" builtinId="9" hidden="1"/>
    <cellStyle name="Followed Hyperlink" xfId="3771" builtinId="9" hidden="1"/>
    <cellStyle name="Followed Hyperlink" xfId="3773" builtinId="9" hidden="1"/>
    <cellStyle name="Followed Hyperlink" xfId="3775" builtinId="9" hidden="1"/>
    <cellStyle name="Followed Hyperlink" xfId="3777" builtinId="9" hidden="1"/>
    <cellStyle name="Followed Hyperlink" xfId="3779" builtinId="9" hidden="1"/>
    <cellStyle name="Followed Hyperlink" xfId="3781" builtinId="9" hidden="1"/>
    <cellStyle name="Followed Hyperlink" xfId="3783" builtinId="9" hidden="1"/>
    <cellStyle name="Followed Hyperlink" xfId="3785" builtinId="9" hidden="1"/>
    <cellStyle name="Followed Hyperlink" xfId="3787" builtinId="9" hidden="1"/>
    <cellStyle name="Followed Hyperlink" xfId="3789" builtinId="9" hidden="1"/>
    <cellStyle name="Followed Hyperlink" xfId="3791" builtinId="9" hidden="1"/>
    <cellStyle name="Followed Hyperlink" xfId="3793" builtinId="9" hidden="1"/>
    <cellStyle name="Followed Hyperlink" xfId="3795" builtinId="9" hidden="1"/>
    <cellStyle name="Followed Hyperlink" xfId="3797" builtinId="9" hidden="1"/>
    <cellStyle name="Followed Hyperlink" xfId="3799" builtinId="9" hidden="1"/>
    <cellStyle name="Followed Hyperlink" xfId="3801" builtinId="9" hidden="1"/>
    <cellStyle name="Followed Hyperlink" xfId="3803" builtinId="9" hidden="1"/>
    <cellStyle name="Followed Hyperlink" xfId="3805" builtinId="9" hidden="1"/>
    <cellStyle name="Followed Hyperlink" xfId="3807" builtinId="9" hidden="1"/>
    <cellStyle name="Followed Hyperlink" xfId="3809" builtinId="9" hidden="1"/>
    <cellStyle name="Followed Hyperlink" xfId="3811" builtinId="9" hidden="1"/>
    <cellStyle name="Followed Hyperlink" xfId="3813" builtinId="9" hidden="1"/>
    <cellStyle name="Followed Hyperlink" xfId="3815" builtinId="9" hidden="1"/>
    <cellStyle name="Followed Hyperlink" xfId="3817" builtinId="9" hidden="1"/>
    <cellStyle name="Followed Hyperlink" xfId="3819" builtinId="9" hidden="1"/>
    <cellStyle name="Followed Hyperlink" xfId="3821" builtinId="9" hidden="1"/>
    <cellStyle name="Followed Hyperlink" xfId="3823" builtinId="9" hidden="1"/>
    <cellStyle name="Followed Hyperlink" xfId="3825" builtinId="9" hidden="1"/>
    <cellStyle name="Followed Hyperlink" xfId="3827" builtinId="9" hidden="1"/>
    <cellStyle name="Followed Hyperlink" xfId="3829" builtinId="9" hidden="1"/>
    <cellStyle name="Followed Hyperlink" xfId="3831" builtinId="9" hidden="1"/>
    <cellStyle name="Followed Hyperlink" xfId="3833" builtinId="9" hidden="1"/>
    <cellStyle name="Followed Hyperlink" xfId="3835" builtinId="9" hidden="1"/>
    <cellStyle name="Followed Hyperlink" xfId="3837" builtinId="9" hidden="1"/>
    <cellStyle name="Followed Hyperlink" xfId="3839" builtinId="9" hidden="1"/>
    <cellStyle name="Followed Hyperlink" xfId="3841" builtinId="9" hidden="1"/>
    <cellStyle name="Followed Hyperlink" xfId="3843" builtinId="9" hidden="1"/>
    <cellStyle name="Followed Hyperlink" xfId="3845" builtinId="9" hidden="1"/>
    <cellStyle name="Followed Hyperlink" xfId="3847" builtinId="9" hidden="1"/>
    <cellStyle name="Followed Hyperlink" xfId="3849" builtinId="9" hidden="1"/>
    <cellStyle name="Followed Hyperlink" xfId="3851" builtinId="9" hidden="1"/>
    <cellStyle name="Followed Hyperlink" xfId="3853" builtinId="9" hidden="1"/>
    <cellStyle name="Followed Hyperlink" xfId="3855" builtinId="9" hidden="1"/>
    <cellStyle name="Followed Hyperlink" xfId="3857" builtinId="9" hidden="1"/>
    <cellStyle name="Followed Hyperlink" xfId="3859" builtinId="9" hidden="1"/>
    <cellStyle name="Followed Hyperlink" xfId="3861" builtinId="9" hidden="1"/>
    <cellStyle name="Followed Hyperlink" xfId="3863" builtinId="9" hidden="1"/>
    <cellStyle name="Followed Hyperlink" xfId="3865" builtinId="9" hidden="1"/>
    <cellStyle name="Followed Hyperlink" xfId="3867" builtinId="9" hidden="1"/>
    <cellStyle name="Followed Hyperlink" xfId="3869" builtinId="9" hidden="1"/>
    <cellStyle name="Followed Hyperlink" xfId="3871" builtinId="9" hidden="1"/>
    <cellStyle name="Followed Hyperlink" xfId="3873" builtinId="9" hidden="1"/>
    <cellStyle name="Followed Hyperlink" xfId="3875" builtinId="9" hidden="1"/>
    <cellStyle name="Followed Hyperlink" xfId="3877" builtinId="9" hidden="1"/>
    <cellStyle name="Followed Hyperlink" xfId="3879" builtinId="9" hidden="1"/>
    <cellStyle name="Followed Hyperlink" xfId="3881" builtinId="9" hidden="1"/>
    <cellStyle name="Followed Hyperlink" xfId="3883" builtinId="9" hidden="1"/>
    <cellStyle name="Followed Hyperlink" xfId="3885" builtinId="9" hidden="1"/>
    <cellStyle name="Followed Hyperlink" xfId="3887" builtinId="9" hidden="1"/>
    <cellStyle name="Followed Hyperlink" xfId="3889" builtinId="9" hidden="1"/>
    <cellStyle name="Followed Hyperlink" xfId="3891" builtinId="9" hidden="1"/>
    <cellStyle name="Followed Hyperlink" xfId="3893" builtinId="9" hidden="1"/>
    <cellStyle name="Followed Hyperlink" xfId="3895" builtinId="9" hidden="1"/>
    <cellStyle name="Followed Hyperlink" xfId="3897" builtinId="9" hidden="1"/>
    <cellStyle name="Followed Hyperlink" xfId="3899" builtinId="9" hidden="1"/>
    <cellStyle name="Followed Hyperlink" xfId="3901" builtinId="9" hidden="1"/>
    <cellStyle name="Followed Hyperlink" xfId="3903" builtinId="9" hidden="1"/>
    <cellStyle name="Followed Hyperlink" xfId="3905" builtinId="9" hidden="1"/>
    <cellStyle name="Followed Hyperlink" xfId="3907" builtinId="9" hidden="1"/>
    <cellStyle name="Followed Hyperlink" xfId="3909" builtinId="9" hidden="1"/>
    <cellStyle name="Followed Hyperlink" xfId="3911" builtinId="9" hidden="1"/>
    <cellStyle name="Followed Hyperlink" xfId="3913" builtinId="9" hidden="1"/>
    <cellStyle name="Followed Hyperlink" xfId="3915" builtinId="9" hidden="1"/>
    <cellStyle name="Followed Hyperlink" xfId="3917" builtinId="9" hidden="1"/>
    <cellStyle name="Followed Hyperlink" xfId="3919" builtinId="9" hidden="1"/>
    <cellStyle name="Followed Hyperlink" xfId="3921" builtinId="9" hidden="1"/>
    <cellStyle name="Followed Hyperlink" xfId="3923" builtinId="9" hidden="1"/>
    <cellStyle name="Followed Hyperlink" xfId="3925" builtinId="9" hidden="1"/>
    <cellStyle name="Followed Hyperlink" xfId="3927" builtinId="9" hidden="1"/>
    <cellStyle name="Followed Hyperlink" xfId="3929" builtinId="9" hidden="1"/>
    <cellStyle name="Followed Hyperlink" xfId="3931" builtinId="9" hidden="1"/>
    <cellStyle name="Followed Hyperlink" xfId="3933" builtinId="9" hidden="1"/>
    <cellStyle name="Followed Hyperlink" xfId="3935" builtinId="9" hidden="1"/>
    <cellStyle name="Followed Hyperlink" xfId="3937" builtinId="9" hidden="1"/>
    <cellStyle name="Followed Hyperlink" xfId="3939" builtinId="9" hidden="1"/>
    <cellStyle name="Followed Hyperlink" xfId="3941" builtinId="9" hidden="1"/>
    <cellStyle name="Followed Hyperlink" xfId="3943" builtinId="9" hidden="1"/>
    <cellStyle name="Followed Hyperlink" xfId="3945" builtinId="9" hidden="1"/>
    <cellStyle name="Followed Hyperlink" xfId="3947" builtinId="9" hidden="1"/>
    <cellStyle name="Followed Hyperlink" xfId="3949" builtinId="9" hidden="1"/>
    <cellStyle name="Followed Hyperlink" xfId="3951" builtinId="9" hidden="1"/>
    <cellStyle name="Followed Hyperlink" xfId="3953" builtinId="9" hidden="1"/>
    <cellStyle name="Followed Hyperlink" xfId="3955" builtinId="9" hidden="1"/>
    <cellStyle name="Followed Hyperlink" xfId="3957" builtinId="9" hidden="1"/>
    <cellStyle name="Followed Hyperlink" xfId="3959" builtinId="9" hidden="1"/>
    <cellStyle name="Followed Hyperlink" xfId="3961" builtinId="9" hidden="1"/>
    <cellStyle name="Followed Hyperlink" xfId="3963" builtinId="9" hidden="1"/>
    <cellStyle name="Followed Hyperlink" xfId="3965" builtinId="9" hidden="1"/>
    <cellStyle name="Followed Hyperlink" xfId="3967" builtinId="9" hidden="1"/>
    <cellStyle name="Followed Hyperlink" xfId="3969" builtinId="9" hidden="1"/>
    <cellStyle name="Followed Hyperlink" xfId="3971" builtinId="9" hidden="1"/>
    <cellStyle name="Followed Hyperlink" xfId="3973" builtinId="9" hidden="1"/>
    <cellStyle name="Followed Hyperlink" xfId="3975" builtinId="9" hidden="1"/>
    <cellStyle name="Followed Hyperlink" xfId="3977" builtinId="9" hidden="1"/>
    <cellStyle name="Followed Hyperlink" xfId="3979" builtinId="9" hidden="1"/>
    <cellStyle name="Followed Hyperlink" xfId="3981" builtinId="9" hidden="1"/>
    <cellStyle name="Followed Hyperlink" xfId="3983" builtinId="9" hidden="1"/>
    <cellStyle name="Followed Hyperlink" xfId="3985" builtinId="9" hidden="1"/>
    <cellStyle name="Followed Hyperlink" xfId="3987" builtinId="9" hidden="1"/>
    <cellStyle name="Followed Hyperlink" xfId="3989" builtinId="9" hidden="1"/>
    <cellStyle name="Followed Hyperlink" xfId="3991" builtinId="9" hidden="1"/>
    <cellStyle name="Followed Hyperlink" xfId="3993" builtinId="9" hidden="1"/>
    <cellStyle name="Followed Hyperlink" xfId="3995" builtinId="9" hidden="1"/>
    <cellStyle name="Followed Hyperlink" xfId="3997" builtinId="9" hidden="1"/>
    <cellStyle name="Followed Hyperlink" xfId="3999" builtinId="9" hidden="1"/>
    <cellStyle name="Followed Hyperlink" xfId="4001" builtinId="9" hidden="1"/>
    <cellStyle name="Followed Hyperlink" xfId="4003" builtinId="9" hidden="1"/>
    <cellStyle name="Followed Hyperlink" xfId="4005" builtinId="9" hidden="1"/>
    <cellStyle name="Followed Hyperlink" xfId="4007" builtinId="9" hidden="1"/>
    <cellStyle name="Followed Hyperlink" xfId="4009" builtinId="9" hidden="1"/>
    <cellStyle name="Followed Hyperlink" xfId="4011" builtinId="9" hidden="1"/>
    <cellStyle name="Followed Hyperlink" xfId="4013" builtinId="9" hidden="1"/>
    <cellStyle name="Followed Hyperlink" xfId="4015" builtinId="9" hidden="1"/>
    <cellStyle name="Followed Hyperlink" xfId="4017" builtinId="9" hidden="1"/>
    <cellStyle name="Followed Hyperlink" xfId="4019" builtinId="9" hidden="1"/>
    <cellStyle name="Followed Hyperlink" xfId="4021" builtinId="9" hidden="1"/>
    <cellStyle name="Followed Hyperlink" xfId="4023" builtinId="9" hidden="1"/>
    <cellStyle name="Followed Hyperlink" xfId="4025" builtinId="9" hidden="1"/>
    <cellStyle name="Followed Hyperlink" xfId="4027" builtinId="9" hidden="1"/>
    <cellStyle name="Followed Hyperlink" xfId="4029" builtinId="9" hidden="1"/>
    <cellStyle name="Followed Hyperlink" xfId="4031" builtinId="9" hidden="1"/>
    <cellStyle name="Followed Hyperlink" xfId="4033" builtinId="9" hidden="1"/>
    <cellStyle name="Followed Hyperlink" xfId="4035" builtinId="9" hidden="1"/>
    <cellStyle name="Followed Hyperlink" xfId="4037" builtinId="9" hidden="1"/>
    <cellStyle name="Followed Hyperlink" xfId="4039" builtinId="9" hidden="1"/>
    <cellStyle name="Followed Hyperlink" xfId="4041" builtinId="9" hidden="1"/>
    <cellStyle name="Followed Hyperlink" xfId="4043" builtinId="9" hidden="1"/>
    <cellStyle name="Followed Hyperlink" xfId="4045" builtinId="9" hidden="1"/>
    <cellStyle name="Followed Hyperlink" xfId="4047" builtinId="9" hidden="1"/>
    <cellStyle name="Followed Hyperlink" xfId="4049" builtinId="9" hidden="1"/>
    <cellStyle name="Followed Hyperlink" xfId="4051" builtinId="9" hidden="1"/>
    <cellStyle name="Followed Hyperlink" xfId="4053" builtinId="9" hidden="1"/>
    <cellStyle name="Followed Hyperlink" xfId="4055" builtinId="9" hidden="1"/>
    <cellStyle name="Followed Hyperlink" xfId="4057" builtinId="9" hidden="1"/>
    <cellStyle name="Followed Hyperlink" xfId="4059" builtinId="9" hidden="1"/>
    <cellStyle name="Followed Hyperlink" xfId="4061" builtinId="9" hidden="1"/>
    <cellStyle name="Followed Hyperlink" xfId="4063" builtinId="9" hidden="1"/>
    <cellStyle name="Followed Hyperlink" xfId="4065" builtinId="9" hidden="1"/>
    <cellStyle name="Followed Hyperlink" xfId="4067" builtinId="9" hidden="1"/>
    <cellStyle name="Followed Hyperlink" xfId="4069" builtinId="9" hidden="1"/>
    <cellStyle name="Followed Hyperlink" xfId="4071" builtinId="9" hidden="1"/>
    <cellStyle name="Followed Hyperlink" xfId="4073" builtinId="9" hidden="1"/>
    <cellStyle name="Followed Hyperlink" xfId="4075" builtinId="9" hidden="1"/>
    <cellStyle name="Followed Hyperlink" xfId="4077" builtinId="9" hidden="1"/>
    <cellStyle name="Followed Hyperlink" xfId="4079" builtinId="9" hidden="1"/>
    <cellStyle name="Followed Hyperlink" xfId="4081" builtinId="9" hidden="1"/>
    <cellStyle name="Followed Hyperlink" xfId="4083" builtinId="9" hidden="1"/>
    <cellStyle name="Followed Hyperlink" xfId="4085" builtinId="9" hidden="1"/>
    <cellStyle name="Followed Hyperlink" xfId="4087" builtinId="9" hidden="1"/>
    <cellStyle name="Followed Hyperlink" xfId="4089" builtinId="9" hidden="1"/>
    <cellStyle name="Followed Hyperlink" xfId="4091" builtinId="9" hidden="1"/>
    <cellStyle name="Followed Hyperlink" xfId="4093" builtinId="9" hidden="1"/>
    <cellStyle name="Followed Hyperlink" xfId="4095" builtinId="9" hidden="1"/>
    <cellStyle name="Followed Hyperlink" xfId="4097" builtinId="9" hidden="1"/>
    <cellStyle name="Followed Hyperlink" xfId="4099" builtinId="9" hidden="1"/>
    <cellStyle name="Followed Hyperlink" xfId="4101" builtinId="9" hidden="1"/>
    <cellStyle name="Followed Hyperlink" xfId="4103" builtinId="9" hidden="1"/>
    <cellStyle name="Followed Hyperlink" xfId="4105" builtinId="9" hidden="1"/>
    <cellStyle name="Followed Hyperlink" xfId="4107" builtinId="9" hidden="1"/>
    <cellStyle name="Followed Hyperlink" xfId="4109" builtinId="9" hidden="1"/>
    <cellStyle name="Followed Hyperlink" xfId="4111" builtinId="9" hidden="1"/>
    <cellStyle name="Followed Hyperlink" xfId="4113" builtinId="9" hidden="1"/>
    <cellStyle name="Followed Hyperlink" xfId="4115" builtinId="9" hidden="1"/>
    <cellStyle name="Followed Hyperlink" xfId="4117" builtinId="9" hidden="1"/>
    <cellStyle name="Followed Hyperlink" xfId="4119" builtinId="9" hidden="1"/>
    <cellStyle name="Followed Hyperlink" xfId="4121" builtinId="9" hidden="1"/>
    <cellStyle name="Followed Hyperlink" xfId="4123" builtinId="9" hidden="1"/>
    <cellStyle name="Followed Hyperlink" xfId="4125" builtinId="9" hidden="1"/>
    <cellStyle name="Followed Hyperlink" xfId="4127" builtinId="9" hidden="1"/>
    <cellStyle name="Followed Hyperlink" xfId="4129" builtinId="9" hidden="1"/>
    <cellStyle name="Followed Hyperlink" xfId="4131" builtinId="9" hidden="1"/>
    <cellStyle name="Followed Hyperlink" xfId="4133" builtinId="9" hidden="1"/>
    <cellStyle name="Followed Hyperlink" xfId="4135" builtinId="9" hidden="1"/>
    <cellStyle name="Followed Hyperlink" xfId="4137" builtinId="9" hidden="1"/>
    <cellStyle name="Followed Hyperlink" xfId="4139" builtinId="9" hidden="1"/>
    <cellStyle name="Followed Hyperlink" xfId="4141" builtinId="9" hidden="1"/>
    <cellStyle name="Followed Hyperlink" xfId="4143" builtinId="9" hidden="1"/>
    <cellStyle name="Followed Hyperlink" xfId="4145" builtinId="9" hidden="1"/>
    <cellStyle name="Followed Hyperlink" xfId="4147" builtinId="9" hidden="1"/>
    <cellStyle name="Followed Hyperlink" xfId="4149" builtinId="9" hidden="1"/>
    <cellStyle name="Followed Hyperlink" xfId="4151" builtinId="9" hidden="1"/>
    <cellStyle name="Followed Hyperlink" xfId="4153" builtinId="9" hidden="1"/>
    <cellStyle name="Followed Hyperlink" xfId="4155" builtinId="9" hidden="1"/>
    <cellStyle name="Followed Hyperlink" xfId="4157" builtinId="9" hidden="1"/>
    <cellStyle name="Followed Hyperlink" xfId="4159" builtinId="9" hidden="1"/>
    <cellStyle name="Followed Hyperlink" xfId="4161" builtinId="9" hidden="1"/>
    <cellStyle name="Followed Hyperlink" xfId="4163" builtinId="9" hidden="1"/>
    <cellStyle name="Followed Hyperlink" xfId="4165" builtinId="9" hidden="1"/>
    <cellStyle name="Followed Hyperlink" xfId="4167" builtinId="9" hidden="1"/>
    <cellStyle name="Followed Hyperlink" xfId="4169" builtinId="9" hidden="1"/>
    <cellStyle name="Followed Hyperlink" xfId="4171" builtinId="9" hidden="1"/>
    <cellStyle name="Followed Hyperlink" xfId="4173" builtinId="9" hidden="1"/>
    <cellStyle name="Followed Hyperlink" xfId="4175" builtinId="9" hidden="1"/>
    <cellStyle name="Followed Hyperlink" xfId="4177" builtinId="9" hidden="1"/>
    <cellStyle name="Followed Hyperlink" xfId="4179" builtinId="9" hidden="1"/>
    <cellStyle name="Followed Hyperlink" xfId="4181" builtinId="9" hidden="1"/>
    <cellStyle name="Followed Hyperlink" xfId="4183" builtinId="9" hidden="1"/>
    <cellStyle name="Followed Hyperlink" xfId="4185" builtinId="9" hidden="1"/>
    <cellStyle name="Followed Hyperlink" xfId="4187" builtinId="9" hidden="1"/>
    <cellStyle name="Followed Hyperlink" xfId="4189" builtinId="9" hidden="1"/>
    <cellStyle name="Followed Hyperlink" xfId="4191" builtinId="9" hidden="1"/>
    <cellStyle name="Followed Hyperlink" xfId="4193" builtinId="9" hidden="1"/>
    <cellStyle name="Followed Hyperlink" xfId="4195" builtinId="9" hidden="1"/>
    <cellStyle name="Followed Hyperlink" xfId="4197" builtinId="9" hidden="1"/>
    <cellStyle name="Followed Hyperlink" xfId="4199" builtinId="9" hidden="1"/>
    <cellStyle name="Followed Hyperlink" xfId="4201" builtinId="9" hidden="1"/>
    <cellStyle name="Followed Hyperlink" xfId="4203" builtinId="9" hidden="1"/>
    <cellStyle name="Followed Hyperlink" xfId="4205" builtinId="9" hidden="1"/>
    <cellStyle name="Followed Hyperlink" xfId="4207" builtinId="9" hidden="1"/>
    <cellStyle name="Followed Hyperlink" xfId="4209" builtinId="9" hidden="1"/>
    <cellStyle name="Followed Hyperlink" xfId="4211" builtinId="9" hidden="1"/>
    <cellStyle name="Followed Hyperlink" xfId="4213" builtinId="9" hidden="1"/>
    <cellStyle name="Followed Hyperlink" xfId="4215" builtinId="9" hidden="1"/>
    <cellStyle name="Followed Hyperlink" xfId="4217" builtinId="9" hidden="1"/>
    <cellStyle name="Followed Hyperlink" xfId="4219" builtinId="9" hidden="1"/>
    <cellStyle name="Followed Hyperlink" xfId="4221" builtinId="9" hidden="1"/>
    <cellStyle name="Followed Hyperlink" xfId="4223" builtinId="9" hidden="1"/>
    <cellStyle name="Followed Hyperlink" xfId="4225" builtinId="9" hidden="1"/>
    <cellStyle name="Followed Hyperlink" xfId="4227" builtinId="9" hidden="1"/>
    <cellStyle name="Followed Hyperlink" xfId="4229" builtinId="9" hidden="1"/>
    <cellStyle name="Followed Hyperlink" xfId="4231" builtinId="9" hidden="1"/>
    <cellStyle name="Followed Hyperlink" xfId="4233" builtinId="9" hidden="1"/>
    <cellStyle name="Followed Hyperlink" xfId="4235" builtinId="9" hidden="1"/>
    <cellStyle name="Followed Hyperlink" xfId="4237" builtinId="9" hidden="1"/>
    <cellStyle name="Followed Hyperlink" xfId="4239" builtinId="9" hidden="1"/>
    <cellStyle name="Followed Hyperlink" xfId="4241" builtinId="9" hidden="1"/>
    <cellStyle name="Followed Hyperlink" xfId="4243" builtinId="9" hidden="1"/>
    <cellStyle name="Followed Hyperlink" xfId="4245" builtinId="9" hidden="1"/>
    <cellStyle name="Followed Hyperlink" xfId="4247" builtinId="9" hidden="1"/>
    <cellStyle name="Followed Hyperlink" xfId="4249" builtinId="9" hidden="1"/>
    <cellStyle name="Followed Hyperlink" xfId="4251" builtinId="9" hidden="1"/>
    <cellStyle name="Followed Hyperlink" xfId="4253" builtinId="9" hidden="1"/>
    <cellStyle name="Followed Hyperlink" xfId="4255" builtinId="9" hidden="1"/>
    <cellStyle name="Followed Hyperlink" xfId="4257" builtinId="9" hidden="1"/>
    <cellStyle name="Followed Hyperlink" xfId="4259" builtinId="9" hidden="1"/>
    <cellStyle name="Followed Hyperlink" xfId="4261" builtinId="9" hidden="1"/>
    <cellStyle name="Followed Hyperlink" xfId="4263" builtinId="9" hidden="1"/>
    <cellStyle name="Followed Hyperlink" xfId="4265" builtinId="9" hidden="1"/>
    <cellStyle name="Followed Hyperlink" xfId="4267" builtinId="9" hidden="1"/>
    <cellStyle name="Followed Hyperlink" xfId="4269" builtinId="9" hidden="1"/>
    <cellStyle name="Followed Hyperlink" xfId="4271" builtinId="9" hidden="1"/>
    <cellStyle name="Followed Hyperlink" xfId="4273" builtinId="9" hidden="1"/>
    <cellStyle name="Followed Hyperlink" xfId="4275" builtinId="9" hidden="1"/>
    <cellStyle name="Followed Hyperlink" xfId="4277" builtinId="9" hidden="1"/>
    <cellStyle name="Followed Hyperlink" xfId="4279" builtinId="9" hidden="1"/>
    <cellStyle name="Followed Hyperlink" xfId="4281" builtinId="9" hidden="1"/>
    <cellStyle name="Followed Hyperlink" xfId="4283" builtinId="9" hidden="1"/>
    <cellStyle name="Followed Hyperlink" xfId="4285" builtinId="9" hidden="1"/>
    <cellStyle name="Followed Hyperlink" xfId="4287" builtinId="9" hidden="1"/>
    <cellStyle name="Followed Hyperlink" xfId="4289" builtinId="9" hidden="1"/>
    <cellStyle name="Followed Hyperlink" xfId="4291" builtinId="9" hidden="1"/>
    <cellStyle name="Followed Hyperlink" xfId="4293" builtinId="9" hidden="1"/>
    <cellStyle name="Followed Hyperlink" xfId="4295" builtinId="9" hidden="1"/>
    <cellStyle name="Followed Hyperlink" xfId="4297" builtinId="9" hidden="1"/>
    <cellStyle name="Followed Hyperlink" xfId="4299" builtinId="9" hidden="1"/>
    <cellStyle name="Followed Hyperlink" xfId="4301" builtinId="9" hidden="1"/>
    <cellStyle name="Followed Hyperlink" xfId="4303" builtinId="9" hidden="1"/>
    <cellStyle name="Followed Hyperlink" xfId="4305" builtinId="9" hidden="1"/>
    <cellStyle name="Followed Hyperlink" xfId="4307" builtinId="9" hidden="1"/>
    <cellStyle name="Followed Hyperlink" xfId="4309" builtinId="9" hidden="1"/>
    <cellStyle name="Followed Hyperlink" xfId="4311" builtinId="9" hidden="1"/>
    <cellStyle name="Followed Hyperlink" xfId="4313" builtinId="9" hidden="1"/>
    <cellStyle name="Followed Hyperlink" xfId="4315" builtinId="9" hidden="1"/>
    <cellStyle name="Followed Hyperlink" xfId="4317" builtinId="9" hidden="1"/>
    <cellStyle name="Followed Hyperlink" xfId="4319" builtinId="9" hidden="1"/>
    <cellStyle name="Followed Hyperlink" xfId="4321" builtinId="9" hidden="1"/>
    <cellStyle name="Followed Hyperlink" xfId="4323" builtinId="9" hidden="1"/>
    <cellStyle name="Followed Hyperlink" xfId="4325" builtinId="9" hidden="1"/>
    <cellStyle name="Followed Hyperlink" xfId="4327" builtinId="9" hidden="1"/>
    <cellStyle name="Followed Hyperlink" xfId="4329" builtinId="9" hidden="1"/>
    <cellStyle name="Followed Hyperlink" xfId="4331" builtinId="9" hidden="1"/>
    <cellStyle name="Followed Hyperlink" xfId="4333" builtinId="9" hidden="1"/>
    <cellStyle name="Followed Hyperlink" xfId="4335" builtinId="9" hidden="1"/>
    <cellStyle name="Followed Hyperlink" xfId="4337" builtinId="9" hidden="1"/>
    <cellStyle name="Followed Hyperlink" xfId="4339" builtinId="9" hidden="1"/>
    <cellStyle name="Followed Hyperlink" xfId="4341" builtinId="9" hidden="1"/>
    <cellStyle name="Followed Hyperlink" xfId="4343" builtinId="9" hidden="1"/>
    <cellStyle name="Followed Hyperlink" xfId="4345" builtinId="9" hidden="1"/>
    <cellStyle name="Followed Hyperlink" xfId="4347" builtinId="9" hidden="1"/>
    <cellStyle name="Followed Hyperlink" xfId="4349" builtinId="9" hidden="1"/>
    <cellStyle name="Followed Hyperlink" xfId="4351" builtinId="9" hidden="1"/>
    <cellStyle name="Followed Hyperlink" xfId="4353" builtinId="9" hidden="1"/>
    <cellStyle name="Followed Hyperlink" xfId="4355" builtinId="9" hidden="1"/>
    <cellStyle name="Followed Hyperlink" xfId="4357" builtinId="9" hidden="1"/>
    <cellStyle name="Followed Hyperlink" xfId="4359" builtinId="9" hidden="1"/>
    <cellStyle name="Followed Hyperlink" xfId="4361" builtinId="9" hidden="1"/>
    <cellStyle name="Followed Hyperlink" xfId="4363" builtinId="9" hidden="1"/>
    <cellStyle name="Followed Hyperlink" xfId="4365" builtinId="9" hidden="1"/>
    <cellStyle name="Followed Hyperlink" xfId="4367" builtinId="9" hidden="1"/>
    <cellStyle name="Followed Hyperlink" xfId="4369" builtinId="9" hidden="1"/>
    <cellStyle name="Followed Hyperlink" xfId="4371" builtinId="9" hidden="1"/>
    <cellStyle name="Followed Hyperlink" xfId="4373" builtinId="9" hidden="1"/>
    <cellStyle name="Followed Hyperlink" xfId="4375" builtinId="9" hidden="1"/>
    <cellStyle name="Followed Hyperlink" xfId="4377" builtinId="9" hidden="1"/>
    <cellStyle name="Followed Hyperlink" xfId="4379" builtinId="9" hidden="1"/>
    <cellStyle name="Followed Hyperlink" xfId="4381" builtinId="9" hidden="1"/>
    <cellStyle name="Followed Hyperlink" xfId="4383" builtinId="9" hidden="1"/>
    <cellStyle name="Followed Hyperlink" xfId="4385" builtinId="9" hidden="1"/>
    <cellStyle name="Followed Hyperlink" xfId="4387" builtinId="9" hidden="1"/>
    <cellStyle name="Followed Hyperlink" xfId="4389" builtinId="9" hidden="1"/>
    <cellStyle name="Followed Hyperlink" xfId="4391" builtinId="9" hidden="1"/>
    <cellStyle name="Followed Hyperlink" xfId="4393" builtinId="9" hidden="1"/>
    <cellStyle name="Followed Hyperlink" xfId="4395" builtinId="9" hidden="1"/>
    <cellStyle name="Followed Hyperlink" xfId="4397" builtinId="9" hidden="1"/>
    <cellStyle name="Followed Hyperlink" xfId="4399" builtinId="9" hidden="1"/>
    <cellStyle name="Followed Hyperlink" xfId="4401" builtinId="9" hidden="1"/>
    <cellStyle name="Followed Hyperlink" xfId="4403" builtinId="9" hidden="1"/>
    <cellStyle name="Followed Hyperlink" xfId="4405" builtinId="9" hidden="1"/>
    <cellStyle name="Followed Hyperlink" xfId="4407" builtinId="9" hidden="1"/>
    <cellStyle name="Followed Hyperlink" xfId="4409" builtinId="9" hidden="1"/>
    <cellStyle name="Followed Hyperlink" xfId="4411" builtinId="9" hidden="1"/>
    <cellStyle name="Followed Hyperlink" xfId="4413" builtinId="9" hidden="1"/>
    <cellStyle name="Followed Hyperlink" xfId="4415" builtinId="9" hidden="1"/>
    <cellStyle name="Followed Hyperlink" xfId="4417" builtinId="9" hidden="1"/>
    <cellStyle name="Followed Hyperlink" xfId="4419" builtinId="9" hidden="1"/>
    <cellStyle name="Followed Hyperlink" xfId="4421" builtinId="9" hidden="1"/>
    <cellStyle name="Followed Hyperlink" xfId="4423" builtinId="9" hidden="1"/>
    <cellStyle name="Followed Hyperlink" xfId="4425" builtinId="9" hidden="1"/>
    <cellStyle name="Followed Hyperlink" xfId="4427" builtinId="9" hidden="1"/>
    <cellStyle name="Followed Hyperlink" xfId="4429" builtinId="9" hidden="1"/>
    <cellStyle name="Followed Hyperlink" xfId="4431" builtinId="9" hidden="1"/>
    <cellStyle name="Followed Hyperlink" xfId="4433" builtinId="9" hidden="1"/>
    <cellStyle name="Followed Hyperlink" xfId="4435" builtinId="9" hidden="1"/>
    <cellStyle name="Followed Hyperlink" xfId="4437" builtinId="9" hidden="1"/>
    <cellStyle name="Followed Hyperlink" xfId="4439" builtinId="9" hidden="1"/>
    <cellStyle name="Followed Hyperlink" xfId="4441" builtinId="9" hidden="1"/>
    <cellStyle name="Followed Hyperlink" xfId="4443" builtinId="9" hidden="1"/>
    <cellStyle name="Followed Hyperlink" xfId="4445" builtinId="9" hidden="1"/>
    <cellStyle name="Followed Hyperlink" xfId="4447" builtinId="9" hidden="1"/>
    <cellStyle name="Followed Hyperlink" xfId="4449" builtinId="9" hidden="1"/>
    <cellStyle name="Followed Hyperlink" xfId="4451" builtinId="9" hidden="1"/>
    <cellStyle name="Followed Hyperlink" xfId="4453" builtinId="9" hidden="1"/>
    <cellStyle name="Followed Hyperlink" xfId="4455" builtinId="9" hidden="1"/>
    <cellStyle name="Followed Hyperlink" xfId="4457" builtinId="9" hidden="1"/>
    <cellStyle name="Followed Hyperlink" xfId="4459" builtinId="9" hidden="1"/>
    <cellStyle name="Followed Hyperlink" xfId="4461" builtinId="9" hidden="1"/>
    <cellStyle name="Followed Hyperlink" xfId="4463" builtinId="9" hidden="1"/>
    <cellStyle name="Followed Hyperlink" xfId="4465" builtinId="9" hidden="1"/>
    <cellStyle name="Followed Hyperlink" xfId="4467" builtinId="9" hidden="1"/>
    <cellStyle name="Followed Hyperlink" xfId="4469" builtinId="9" hidden="1"/>
    <cellStyle name="Followed Hyperlink" xfId="4471" builtinId="9" hidden="1"/>
    <cellStyle name="Followed Hyperlink" xfId="4473" builtinId="9" hidden="1"/>
    <cellStyle name="Followed Hyperlink" xfId="4475" builtinId="9" hidden="1"/>
    <cellStyle name="Followed Hyperlink" xfId="4477" builtinId="9" hidden="1"/>
    <cellStyle name="Followed Hyperlink" xfId="4479" builtinId="9" hidden="1"/>
    <cellStyle name="Followed Hyperlink" xfId="4481" builtinId="9" hidden="1"/>
    <cellStyle name="Followed Hyperlink" xfId="4483" builtinId="9" hidden="1"/>
    <cellStyle name="Followed Hyperlink" xfId="4485" builtinId="9" hidden="1"/>
    <cellStyle name="Followed Hyperlink" xfId="4487" builtinId="9" hidden="1"/>
    <cellStyle name="Followed Hyperlink" xfId="4489" builtinId="9" hidden="1"/>
    <cellStyle name="Followed Hyperlink" xfId="4491" builtinId="9" hidden="1"/>
    <cellStyle name="Followed Hyperlink" xfId="4493" builtinId="9" hidden="1"/>
    <cellStyle name="Followed Hyperlink" xfId="4495" builtinId="9" hidden="1"/>
    <cellStyle name="Followed Hyperlink" xfId="4497" builtinId="9" hidden="1"/>
    <cellStyle name="Followed Hyperlink" xfId="4499" builtinId="9" hidden="1"/>
    <cellStyle name="Followed Hyperlink" xfId="4501" builtinId="9" hidden="1"/>
    <cellStyle name="Followed Hyperlink" xfId="4503" builtinId="9" hidden="1"/>
    <cellStyle name="Followed Hyperlink" xfId="4505" builtinId="9" hidden="1"/>
    <cellStyle name="Followed Hyperlink" xfId="4507" builtinId="9" hidden="1"/>
    <cellStyle name="Followed Hyperlink" xfId="4509" builtinId="9" hidden="1"/>
    <cellStyle name="Followed Hyperlink" xfId="4511" builtinId="9" hidden="1"/>
    <cellStyle name="Followed Hyperlink" xfId="4513" builtinId="9" hidden="1"/>
    <cellStyle name="Followed Hyperlink" xfId="4515" builtinId="9" hidden="1"/>
    <cellStyle name="Followed Hyperlink" xfId="4517" builtinId="9" hidden="1"/>
    <cellStyle name="Followed Hyperlink" xfId="4519" builtinId="9" hidden="1"/>
    <cellStyle name="Followed Hyperlink" xfId="4521" builtinId="9" hidden="1"/>
    <cellStyle name="Followed Hyperlink" xfId="4523" builtinId="9" hidden="1"/>
    <cellStyle name="Followed Hyperlink" xfId="4525" builtinId="9" hidden="1"/>
    <cellStyle name="Followed Hyperlink" xfId="4527" builtinId="9" hidden="1"/>
    <cellStyle name="Followed Hyperlink" xfId="4529" builtinId="9" hidden="1"/>
    <cellStyle name="Followed Hyperlink" xfId="4531" builtinId="9" hidden="1"/>
    <cellStyle name="Followed Hyperlink" xfId="4533" builtinId="9" hidden="1"/>
    <cellStyle name="Followed Hyperlink" xfId="4535" builtinId="9" hidden="1"/>
    <cellStyle name="Followed Hyperlink" xfId="4537" builtinId="9" hidden="1"/>
    <cellStyle name="Followed Hyperlink" xfId="4539" builtinId="9" hidden="1"/>
    <cellStyle name="Followed Hyperlink" xfId="4541" builtinId="9" hidden="1"/>
    <cellStyle name="Followed Hyperlink" xfId="4543" builtinId="9" hidden="1"/>
    <cellStyle name="Followed Hyperlink" xfId="4545" builtinId="9" hidden="1"/>
    <cellStyle name="Followed Hyperlink" xfId="4547" builtinId="9" hidden="1"/>
    <cellStyle name="Followed Hyperlink" xfId="4549" builtinId="9" hidden="1"/>
    <cellStyle name="Followed Hyperlink" xfId="4551" builtinId="9" hidden="1"/>
    <cellStyle name="Followed Hyperlink" xfId="4553" builtinId="9" hidden="1"/>
    <cellStyle name="Followed Hyperlink" xfId="4555" builtinId="9" hidden="1"/>
    <cellStyle name="Followed Hyperlink" xfId="4557" builtinId="9" hidden="1"/>
    <cellStyle name="Followed Hyperlink" xfId="4559" builtinId="9" hidden="1"/>
    <cellStyle name="Followed Hyperlink" xfId="4561" builtinId="9" hidden="1"/>
    <cellStyle name="Followed Hyperlink" xfId="4563" builtinId="9" hidden="1"/>
    <cellStyle name="Followed Hyperlink" xfId="4565" builtinId="9" hidden="1"/>
    <cellStyle name="Followed Hyperlink" xfId="4567" builtinId="9" hidden="1"/>
    <cellStyle name="Followed Hyperlink" xfId="4569" builtinId="9" hidden="1"/>
    <cellStyle name="Followed Hyperlink" xfId="4571" builtinId="9" hidden="1"/>
    <cellStyle name="Followed Hyperlink" xfId="4573" builtinId="9" hidden="1"/>
    <cellStyle name="Followed Hyperlink" xfId="4575" builtinId="9" hidden="1"/>
    <cellStyle name="Followed Hyperlink" xfId="4577" builtinId="9" hidden="1"/>
    <cellStyle name="Followed Hyperlink" xfId="4579" builtinId="9" hidden="1"/>
    <cellStyle name="Followed Hyperlink" xfId="4581" builtinId="9" hidden="1"/>
    <cellStyle name="Followed Hyperlink" xfId="4583" builtinId="9" hidden="1"/>
    <cellStyle name="Followed Hyperlink" xfId="4585" builtinId="9" hidden="1"/>
    <cellStyle name="Followed Hyperlink" xfId="4587" builtinId="9" hidden="1"/>
    <cellStyle name="Followed Hyperlink" xfId="4589" builtinId="9" hidden="1"/>
    <cellStyle name="Followed Hyperlink" xfId="4591" builtinId="9" hidden="1"/>
    <cellStyle name="Followed Hyperlink" xfId="4593" builtinId="9" hidden="1"/>
    <cellStyle name="Followed Hyperlink" xfId="4595" builtinId="9" hidden="1"/>
    <cellStyle name="Followed Hyperlink" xfId="4597" builtinId="9" hidden="1"/>
    <cellStyle name="Followed Hyperlink" xfId="4599" builtinId="9" hidden="1"/>
    <cellStyle name="Followed Hyperlink" xfId="4601" builtinId="9" hidden="1"/>
    <cellStyle name="Followed Hyperlink" xfId="4603" builtinId="9" hidden="1"/>
    <cellStyle name="Followed Hyperlink" xfId="4605" builtinId="9" hidden="1"/>
    <cellStyle name="Followed Hyperlink" xfId="4607" builtinId="9" hidden="1"/>
    <cellStyle name="Followed Hyperlink" xfId="4609" builtinId="9" hidden="1"/>
    <cellStyle name="Followed Hyperlink" xfId="4611" builtinId="9" hidden="1"/>
    <cellStyle name="Followed Hyperlink" xfId="4613" builtinId="9" hidden="1"/>
    <cellStyle name="Followed Hyperlink" xfId="4615" builtinId="9" hidden="1"/>
    <cellStyle name="Followed Hyperlink" xfId="4617" builtinId="9" hidden="1"/>
    <cellStyle name="Followed Hyperlink" xfId="4619" builtinId="9" hidden="1"/>
    <cellStyle name="Followed Hyperlink" xfId="4621" builtinId="9" hidden="1"/>
    <cellStyle name="Followed Hyperlink" xfId="4623" builtinId="9" hidden="1"/>
    <cellStyle name="Followed Hyperlink" xfId="4625" builtinId="9" hidden="1"/>
    <cellStyle name="Followed Hyperlink" xfId="4627" builtinId="9" hidden="1"/>
    <cellStyle name="Followed Hyperlink" xfId="4629" builtinId="9" hidden="1"/>
    <cellStyle name="Followed Hyperlink" xfId="4631" builtinId="9" hidden="1"/>
    <cellStyle name="Followed Hyperlink" xfId="4633" builtinId="9" hidden="1"/>
    <cellStyle name="Followed Hyperlink" xfId="4635" builtinId="9" hidden="1"/>
    <cellStyle name="Followed Hyperlink" xfId="4637" builtinId="9" hidden="1"/>
    <cellStyle name="Followed Hyperlink" xfId="4639" builtinId="9" hidden="1"/>
    <cellStyle name="Followed Hyperlink" xfId="4641" builtinId="9" hidden="1"/>
    <cellStyle name="Followed Hyperlink" xfId="4643" builtinId="9" hidden="1"/>
    <cellStyle name="Followed Hyperlink" xfId="4645" builtinId="9" hidden="1"/>
    <cellStyle name="Followed Hyperlink" xfId="4647" builtinId="9" hidden="1"/>
    <cellStyle name="Followed Hyperlink" xfId="4649" builtinId="9" hidden="1"/>
    <cellStyle name="Followed Hyperlink" xfId="4651" builtinId="9" hidden="1"/>
    <cellStyle name="Followed Hyperlink" xfId="4653" builtinId="9" hidden="1"/>
    <cellStyle name="Followed Hyperlink" xfId="4655" builtinId="9" hidden="1"/>
    <cellStyle name="Followed Hyperlink" xfId="4657" builtinId="9" hidden="1"/>
    <cellStyle name="Followed Hyperlink" xfId="4659" builtinId="9" hidden="1"/>
    <cellStyle name="Followed Hyperlink" xfId="4661" builtinId="9" hidden="1"/>
    <cellStyle name="Followed Hyperlink" xfId="4663" builtinId="9" hidden="1"/>
    <cellStyle name="Followed Hyperlink" xfId="4665" builtinId="9" hidden="1"/>
    <cellStyle name="Followed Hyperlink" xfId="4667" builtinId="9" hidden="1"/>
    <cellStyle name="Followed Hyperlink" xfId="4669" builtinId="9" hidden="1"/>
    <cellStyle name="Followed Hyperlink" xfId="4671" builtinId="9" hidden="1"/>
    <cellStyle name="Followed Hyperlink" xfId="4673" builtinId="9" hidden="1"/>
    <cellStyle name="Followed Hyperlink" xfId="4675" builtinId="9" hidden="1"/>
    <cellStyle name="Followed Hyperlink" xfId="4677" builtinId="9" hidden="1"/>
    <cellStyle name="Followed Hyperlink" xfId="4679" builtinId="9" hidden="1"/>
    <cellStyle name="Followed Hyperlink" xfId="4681" builtinId="9" hidden="1"/>
    <cellStyle name="Followed Hyperlink" xfId="4683" builtinId="9" hidden="1"/>
    <cellStyle name="Followed Hyperlink" xfId="4685" builtinId="9" hidden="1"/>
    <cellStyle name="Followed Hyperlink" xfId="4687" builtinId="9" hidden="1"/>
    <cellStyle name="Followed Hyperlink" xfId="4689" builtinId="9" hidden="1"/>
    <cellStyle name="Followed Hyperlink" xfId="4691" builtinId="9" hidden="1"/>
    <cellStyle name="Followed Hyperlink" xfId="4693" builtinId="9" hidden="1"/>
    <cellStyle name="Followed Hyperlink" xfId="4695" builtinId="9" hidden="1"/>
    <cellStyle name="Followed Hyperlink" xfId="4697" builtinId="9" hidden="1"/>
    <cellStyle name="Followed Hyperlink" xfId="4699" builtinId="9" hidden="1"/>
    <cellStyle name="Followed Hyperlink" xfId="4701" builtinId="9" hidden="1"/>
    <cellStyle name="Followed Hyperlink" xfId="4703" builtinId="9" hidden="1"/>
    <cellStyle name="Followed Hyperlink" xfId="4705" builtinId="9" hidden="1"/>
    <cellStyle name="Followed Hyperlink" xfId="4707" builtinId="9" hidden="1"/>
    <cellStyle name="Followed Hyperlink" xfId="4709" builtinId="9" hidden="1"/>
    <cellStyle name="Followed Hyperlink" xfId="4711" builtinId="9" hidden="1"/>
    <cellStyle name="Followed Hyperlink" xfId="4713" builtinId="9" hidden="1"/>
    <cellStyle name="Followed Hyperlink" xfId="4715" builtinId="9" hidden="1"/>
    <cellStyle name="Followed Hyperlink" xfId="4717" builtinId="9" hidden="1"/>
    <cellStyle name="Followed Hyperlink" xfId="4719" builtinId="9" hidden="1"/>
    <cellStyle name="Followed Hyperlink" xfId="4721" builtinId="9" hidden="1"/>
    <cellStyle name="Followed Hyperlink" xfId="4723" builtinId="9" hidden="1"/>
    <cellStyle name="Followed Hyperlink" xfId="4725" builtinId="9" hidden="1"/>
    <cellStyle name="Followed Hyperlink" xfId="4727" builtinId="9" hidden="1"/>
    <cellStyle name="Followed Hyperlink" xfId="4729" builtinId="9" hidden="1"/>
    <cellStyle name="Followed Hyperlink" xfId="4731" builtinId="9" hidden="1"/>
    <cellStyle name="Followed Hyperlink" xfId="4733" builtinId="9" hidden="1"/>
    <cellStyle name="Followed Hyperlink" xfId="4735" builtinId="9" hidden="1"/>
    <cellStyle name="Followed Hyperlink" xfId="4737" builtinId="9" hidden="1"/>
    <cellStyle name="Followed Hyperlink" xfId="4739" builtinId="9" hidden="1"/>
    <cellStyle name="Followed Hyperlink" xfId="4741" builtinId="9" hidden="1"/>
    <cellStyle name="Followed Hyperlink" xfId="4743" builtinId="9" hidden="1"/>
    <cellStyle name="Followed Hyperlink" xfId="4745" builtinId="9" hidden="1"/>
    <cellStyle name="Followed Hyperlink" xfId="4747" builtinId="9" hidden="1"/>
    <cellStyle name="Followed Hyperlink" xfId="4749" builtinId="9" hidden="1"/>
    <cellStyle name="Followed Hyperlink" xfId="4751" builtinId="9" hidden="1"/>
    <cellStyle name="Followed Hyperlink" xfId="4753" builtinId="9" hidden="1"/>
    <cellStyle name="Followed Hyperlink" xfId="4755" builtinId="9" hidden="1"/>
    <cellStyle name="Followed Hyperlink" xfId="4757" builtinId="9" hidden="1"/>
    <cellStyle name="Followed Hyperlink" xfId="4759" builtinId="9" hidden="1"/>
    <cellStyle name="Followed Hyperlink" xfId="4761" builtinId="9" hidden="1"/>
    <cellStyle name="Followed Hyperlink" xfId="4763" builtinId="9" hidden="1"/>
    <cellStyle name="Followed Hyperlink" xfId="4765" builtinId="9" hidden="1"/>
    <cellStyle name="Followed Hyperlink" xfId="4767" builtinId="9" hidden="1"/>
    <cellStyle name="Followed Hyperlink" xfId="4769" builtinId="9" hidden="1"/>
    <cellStyle name="Followed Hyperlink" xfId="4771" builtinId="9" hidden="1"/>
    <cellStyle name="Followed Hyperlink" xfId="4773" builtinId="9" hidden="1"/>
    <cellStyle name="Followed Hyperlink" xfId="4775" builtinId="9" hidden="1"/>
    <cellStyle name="Followed Hyperlink" xfId="4777" builtinId="9" hidden="1"/>
    <cellStyle name="Followed Hyperlink" xfId="4779" builtinId="9" hidden="1"/>
    <cellStyle name="Followed Hyperlink" xfId="4781" builtinId="9" hidden="1"/>
    <cellStyle name="Followed Hyperlink" xfId="4783" builtinId="9" hidden="1"/>
    <cellStyle name="Followed Hyperlink" xfId="4785" builtinId="9" hidden="1"/>
    <cellStyle name="Followed Hyperlink" xfId="4787" builtinId="9" hidden="1"/>
    <cellStyle name="Followed Hyperlink" xfId="4789" builtinId="9" hidden="1"/>
    <cellStyle name="Followed Hyperlink" xfId="4791" builtinId="9" hidden="1"/>
    <cellStyle name="Followed Hyperlink" xfId="4793" builtinId="9" hidden="1"/>
    <cellStyle name="Followed Hyperlink" xfId="4795" builtinId="9" hidden="1"/>
    <cellStyle name="Followed Hyperlink" xfId="4797" builtinId="9" hidden="1"/>
    <cellStyle name="Followed Hyperlink" xfId="4799" builtinId="9" hidden="1"/>
    <cellStyle name="Followed Hyperlink" xfId="4801" builtinId="9" hidden="1"/>
    <cellStyle name="Followed Hyperlink" xfId="4803" builtinId="9" hidden="1"/>
    <cellStyle name="Followed Hyperlink" xfId="4805" builtinId="9" hidden="1"/>
    <cellStyle name="Followed Hyperlink" xfId="4807" builtinId="9" hidden="1"/>
    <cellStyle name="Followed Hyperlink" xfId="4809" builtinId="9" hidden="1"/>
    <cellStyle name="Followed Hyperlink" xfId="4811" builtinId="9" hidden="1"/>
    <cellStyle name="Followed Hyperlink" xfId="4813" builtinId="9" hidden="1"/>
    <cellStyle name="Followed Hyperlink" xfId="4815" builtinId="9" hidden="1"/>
    <cellStyle name="Followed Hyperlink" xfId="4817" builtinId="9" hidden="1"/>
    <cellStyle name="Followed Hyperlink" xfId="4819" builtinId="9" hidden="1"/>
    <cellStyle name="Followed Hyperlink" xfId="4821" builtinId="9" hidden="1"/>
    <cellStyle name="Followed Hyperlink" xfId="4823" builtinId="9" hidden="1"/>
    <cellStyle name="Followed Hyperlink" xfId="4825" builtinId="9" hidden="1"/>
    <cellStyle name="Followed Hyperlink" xfId="4827" builtinId="9" hidden="1"/>
    <cellStyle name="Followed Hyperlink" xfId="4829" builtinId="9" hidden="1"/>
    <cellStyle name="Followed Hyperlink" xfId="4831" builtinId="9" hidden="1"/>
    <cellStyle name="Followed Hyperlink" xfId="4833" builtinId="9" hidden="1"/>
    <cellStyle name="Followed Hyperlink" xfId="4835" builtinId="9" hidden="1"/>
    <cellStyle name="Followed Hyperlink" xfId="4837" builtinId="9" hidden="1"/>
    <cellStyle name="Followed Hyperlink" xfId="4839" builtinId="9" hidden="1"/>
    <cellStyle name="Followed Hyperlink" xfId="4841" builtinId="9" hidden="1"/>
    <cellStyle name="Followed Hyperlink" xfId="4843" builtinId="9" hidden="1"/>
    <cellStyle name="Followed Hyperlink" xfId="4845" builtinId="9" hidden="1"/>
    <cellStyle name="Followed Hyperlink" xfId="4847" builtinId="9" hidden="1"/>
    <cellStyle name="Followed Hyperlink" xfId="4849" builtinId="9" hidden="1"/>
    <cellStyle name="Followed Hyperlink" xfId="4851" builtinId="9" hidden="1"/>
    <cellStyle name="Followed Hyperlink" xfId="4853" builtinId="9" hidden="1"/>
    <cellStyle name="Followed Hyperlink" xfId="4855" builtinId="9" hidden="1"/>
    <cellStyle name="Followed Hyperlink" xfId="4857" builtinId="9" hidden="1"/>
    <cellStyle name="Followed Hyperlink" xfId="4859" builtinId="9" hidden="1"/>
    <cellStyle name="Followed Hyperlink" xfId="4861" builtinId="9" hidden="1"/>
    <cellStyle name="Followed Hyperlink" xfId="4863" builtinId="9" hidden="1"/>
    <cellStyle name="Followed Hyperlink" xfId="4865" builtinId="9" hidden="1"/>
    <cellStyle name="Followed Hyperlink" xfId="4867" builtinId="9" hidden="1"/>
    <cellStyle name="Followed Hyperlink" xfId="4869" builtinId="9" hidden="1"/>
    <cellStyle name="Followed Hyperlink" xfId="4871" builtinId="9" hidden="1"/>
    <cellStyle name="Followed Hyperlink" xfId="4873" builtinId="9" hidden="1"/>
    <cellStyle name="Followed Hyperlink" xfId="4875" builtinId="9" hidden="1"/>
    <cellStyle name="Followed Hyperlink" xfId="4877" builtinId="9" hidden="1"/>
    <cellStyle name="Followed Hyperlink" xfId="4879" builtinId="9" hidden="1"/>
    <cellStyle name="Followed Hyperlink" xfId="4881" builtinId="9" hidden="1"/>
    <cellStyle name="Followed Hyperlink" xfId="4883" builtinId="9" hidden="1"/>
    <cellStyle name="Followed Hyperlink" xfId="4885" builtinId="9" hidden="1"/>
    <cellStyle name="Followed Hyperlink" xfId="4887" builtinId="9" hidden="1"/>
    <cellStyle name="Followed Hyperlink" xfId="4889" builtinId="9" hidden="1"/>
    <cellStyle name="Followed Hyperlink" xfId="4891" builtinId="9" hidden="1"/>
    <cellStyle name="Followed Hyperlink" xfId="4893" builtinId="9" hidden="1"/>
    <cellStyle name="Followed Hyperlink" xfId="4895" builtinId="9" hidden="1"/>
    <cellStyle name="Followed Hyperlink" xfId="4897" builtinId="9" hidden="1"/>
    <cellStyle name="Followed Hyperlink" xfId="4899" builtinId="9" hidden="1"/>
    <cellStyle name="Followed Hyperlink" xfId="4901" builtinId="9" hidden="1"/>
    <cellStyle name="Followed Hyperlink" xfId="4903" builtinId="9" hidden="1"/>
    <cellStyle name="Followed Hyperlink" xfId="4905" builtinId="9" hidden="1"/>
    <cellStyle name="Followed Hyperlink" xfId="4907" builtinId="9" hidden="1"/>
    <cellStyle name="Followed Hyperlink" xfId="4909" builtinId="9" hidden="1"/>
    <cellStyle name="Followed Hyperlink" xfId="4911" builtinId="9" hidden="1"/>
    <cellStyle name="Followed Hyperlink" xfId="4913" builtinId="9" hidden="1"/>
    <cellStyle name="Followed Hyperlink" xfId="4915" builtinId="9" hidden="1"/>
    <cellStyle name="Followed Hyperlink" xfId="4917" builtinId="9" hidden="1"/>
    <cellStyle name="Followed Hyperlink" xfId="4919" builtinId="9" hidden="1"/>
    <cellStyle name="Followed Hyperlink" xfId="4921" builtinId="9" hidden="1"/>
    <cellStyle name="Followed Hyperlink" xfId="4923" builtinId="9" hidden="1"/>
    <cellStyle name="Followed Hyperlink" xfId="4925" builtinId="9" hidden="1"/>
    <cellStyle name="Followed Hyperlink" xfId="4927" builtinId="9" hidden="1"/>
    <cellStyle name="Followed Hyperlink" xfId="4929" builtinId="9" hidden="1"/>
    <cellStyle name="Followed Hyperlink" xfId="4931" builtinId="9" hidden="1"/>
    <cellStyle name="Followed Hyperlink" xfId="4933" builtinId="9" hidden="1"/>
    <cellStyle name="Followed Hyperlink" xfId="4935" builtinId="9" hidden="1"/>
    <cellStyle name="Followed Hyperlink" xfId="4937" builtinId="9" hidden="1"/>
    <cellStyle name="Followed Hyperlink" xfId="4939" builtinId="9" hidden="1"/>
    <cellStyle name="Followed Hyperlink" xfId="4941" builtinId="9" hidden="1"/>
    <cellStyle name="Followed Hyperlink" xfId="4943" builtinId="9" hidden="1"/>
    <cellStyle name="Followed Hyperlink" xfId="4945" builtinId="9" hidden="1"/>
    <cellStyle name="Followed Hyperlink" xfId="4947" builtinId="9" hidden="1"/>
    <cellStyle name="Followed Hyperlink" xfId="4949" builtinId="9" hidden="1"/>
    <cellStyle name="Followed Hyperlink" xfId="4951" builtinId="9" hidden="1"/>
    <cellStyle name="Followed Hyperlink" xfId="4953" builtinId="9" hidden="1"/>
    <cellStyle name="Followed Hyperlink" xfId="4955" builtinId="9" hidden="1"/>
    <cellStyle name="Followed Hyperlink" xfId="4957" builtinId="9" hidden="1"/>
    <cellStyle name="Followed Hyperlink" xfId="4959" builtinId="9" hidden="1"/>
    <cellStyle name="Followed Hyperlink" xfId="4961" builtinId="9" hidden="1"/>
    <cellStyle name="Followed Hyperlink" xfId="4963" builtinId="9" hidden="1"/>
    <cellStyle name="Followed Hyperlink" xfId="4965" builtinId="9" hidden="1"/>
    <cellStyle name="Followed Hyperlink" xfId="4967" builtinId="9" hidden="1"/>
    <cellStyle name="Followed Hyperlink" xfId="4969" builtinId="9" hidden="1"/>
    <cellStyle name="Followed Hyperlink" xfId="4971" builtinId="9" hidden="1"/>
    <cellStyle name="Followed Hyperlink" xfId="4973" builtinId="9" hidden="1"/>
    <cellStyle name="Followed Hyperlink" xfId="4975" builtinId="9" hidden="1"/>
    <cellStyle name="Followed Hyperlink" xfId="4977" builtinId="9" hidden="1"/>
    <cellStyle name="Followed Hyperlink" xfId="4979" builtinId="9" hidden="1"/>
    <cellStyle name="Followed Hyperlink" xfId="4981" builtinId="9" hidden="1"/>
    <cellStyle name="Followed Hyperlink" xfId="4983" builtinId="9" hidden="1"/>
    <cellStyle name="Followed Hyperlink" xfId="4985" builtinId="9" hidden="1"/>
    <cellStyle name="Followed Hyperlink" xfId="4987" builtinId="9" hidden="1"/>
    <cellStyle name="Followed Hyperlink" xfId="4989" builtinId="9" hidden="1"/>
    <cellStyle name="Followed Hyperlink" xfId="4991" builtinId="9" hidden="1"/>
    <cellStyle name="Followed Hyperlink" xfId="4993" builtinId="9" hidden="1"/>
    <cellStyle name="Followed Hyperlink" xfId="4995" builtinId="9" hidden="1"/>
    <cellStyle name="Followed Hyperlink" xfId="4997" builtinId="9" hidden="1"/>
    <cellStyle name="Followed Hyperlink" xfId="4999" builtinId="9" hidden="1"/>
    <cellStyle name="Followed Hyperlink" xfId="5001" builtinId="9" hidden="1"/>
    <cellStyle name="Followed Hyperlink" xfId="5003" builtinId="9" hidden="1"/>
    <cellStyle name="Followed Hyperlink" xfId="5005" builtinId="9" hidden="1"/>
    <cellStyle name="Followed Hyperlink" xfId="5007" builtinId="9" hidden="1"/>
    <cellStyle name="Followed Hyperlink" xfId="5009" builtinId="9" hidden="1"/>
    <cellStyle name="Followed Hyperlink" xfId="5011" builtinId="9" hidden="1"/>
    <cellStyle name="Followed Hyperlink" xfId="5013" builtinId="9" hidden="1"/>
    <cellStyle name="Followed Hyperlink" xfId="5015" builtinId="9" hidden="1"/>
    <cellStyle name="Followed Hyperlink" xfId="5017" builtinId="9" hidden="1"/>
    <cellStyle name="Followed Hyperlink" xfId="5019" builtinId="9" hidden="1"/>
    <cellStyle name="Followed Hyperlink" xfId="5021" builtinId="9" hidden="1"/>
    <cellStyle name="Followed Hyperlink" xfId="5023" builtinId="9" hidden="1"/>
    <cellStyle name="Followed Hyperlink" xfId="5025" builtinId="9" hidden="1"/>
    <cellStyle name="Followed Hyperlink" xfId="5027" builtinId="9" hidden="1"/>
    <cellStyle name="Followed Hyperlink" xfId="5029" builtinId="9" hidden="1"/>
    <cellStyle name="Followed Hyperlink" xfId="5031" builtinId="9" hidden="1"/>
    <cellStyle name="Followed Hyperlink" xfId="5033" builtinId="9" hidden="1"/>
    <cellStyle name="Followed Hyperlink" xfId="5035" builtinId="9" hidden="1"/>
    <cellStyle name="Followed Hyperlink" xfId="5037" builtinId="9" hidden="1"/>
    <cellStyle name="Followed Hyperlink" xfId="5039" builtinId="9" hidden="1"/>
    <cellStyle name="Followed Hyperlink" xfId="5041" builtinId="9" hidden="1"/>
    <cellStyle name="Followed Hyperlink" xfId="5043" builtinId="9" hidden="1"/>
    <cellStyle name="Followed Hyperlink" xfId="5045" builtinId="9" hidden="1"/>
    <cellStyle name="Followed Hyperlink" xfId="5047" builtinId="9" hidden="1"/>
    <cellStyle name="Followed Hyperlink" xfId="5049" builtinId="9" hidden="1"/>
    <cellStyle name="Followed Hyperlink" xfId="5051" builtinId="9" hidden="1"/>
    <cellStyle name="Followed Hyperlink" xfId="5053" builtinId="9" hidden="1"/>
    <cellStyle name="Followed Hyperlink" xfId="5055" builtinId="9" hidden="1"/>
    <cellStyle name="Followed Hyperlink" xfId="5057" builtinId="9" hidden="1"/>
    <cellStyle name="Followed Hyperlink" xfId="5059" builtinId="9" hidden="1"/>
    <cellStyle name="Followed Hyperlink" xfId="5061" builtinId="9" hidden="1"/>
    <cellStyle name="Followed Hyperlink" xfId="5063" builtinId="9" hidden="1"/>
    <cellStyle name="Followed Hyperlink" xfId="5065" builtinId="9" hidden="1"/>
    <cellStyle name="Followed Hyperlink" xfId="5067" builtinId="9" hidden="1"/>
    <cellStyle name="Followed Hyperlink" xfId="5069" builtinId="9" hidden="1"/>
    <cellStyle name="Followed Hyperlink" xfId="5071" builtinId="9" hidden="1"/>
    <cellStyle name="Followed Hyperlink" xfId="5073" builtinId="9" hidden="1"/>
    <cellStyle name="Followed Hyperlink" xfId="5075" builtinId="9" hidden="1"/>
    <cellStyle name="Followed Hyperlink" xfId="5077" builtinId="9" hidden="1"/>
    <cellStyle name="Followed Hyperlink" xfId="5079" builtinId="9" hidden="1"/>
    <cellStyle name="Followed Hyperlink" xfId="5081" builtinId="9" hidden="1"/>
    <cellStyle name="Followed Hyperlink" xfId="5083" builtinId="9" hidden="1"/>
    <cellStyle name="Followed Hyperlink" xfId="5085" builtinId="9" hidden="1"/>
    <cellStyle name="Followed Hyperlink" xfId="5087" builtinId="9" hidden="1"/>
    <cellStyle name="Followed Hyperlink" xfId="5089" builtinId="9" hidden="1"/>
    <cellStyle name="Followed Hyperlink" xfId="5091" builtinId="9" hidden="1"/>
    <cellStyle name="Followed Hyperlink" xfId="5093" builtinId="9" hidden="1"/>
    <cellStyle name="Followed Hyperlink" xfId="5095" builtinId="9" hidden="1"/>
    <cellStyle name="Followed Hyperlink" xfId="5097" builtinId="9" hidden="1"/>
    <cellStyle name="Followed Hyperlink" xfId="5099" builtinId="9" hidden="1"/>
    <cellStyle name="Followed Hyperlink" xfId="5101" builtinId="9" hidden="1"/>
    <cellStyle name="Followed Hyperlink" xfId="5103" builtinId="9" hidden="1"/>
    <cellStyle name="Followed Hyperlink" xfId="5105" builtinId="9" hidden="1"/>
    <cellStyle name="Followed Hyperlink" xfId="5107" builtinId="9" hidden="1"/>
    <cellStyle name="Followed Hyperlink" xfId="5109" builtinId="9" hidden="1"/>
    <cellStyle name="Followed Hyperlink" xfId="51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1794" builtinId="8" hidden="1"/>
    <cellStyle name="Hyperlink" xfId="1796" builtinId="8" hidden="1"/>
    <cellStyle name="Hyperlink" xfId="1798" builtinId="8" hidden="1"/>
    <cellStyle name="Hyperlink" xfId="1800" builtinId="8" hidden="1"/>
    <cellStyle name="Hyperlink" xfId="1802" builtinId="8" hidden="1"/>
    <cellStyle name="Hyperlink" xfId="1804" builtinId="8" hidden="1"/>
    <cellStyle name="Hyperlink" xfId="1806" builtinId="8" hidden="1"/>
    <cellStyle name="Hyperlink" xfId="1808" builtinId="8" hidden="1"/>
    <cellStyle name="Hyperlink" xfId="1810" builtinId="8" hidden="1"/>
    <cellStyle name="Hyperlink" xfId="1812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4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38" builtinId="8" hidden="1"/>
    <cellStyle name="Hyperlink" xfId="1940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54" builtinId="8" hidden="1"/>
    <cellStyle name="Hyperlink" xfId="1956" builtinId="8" hidden="1"/>
    <cellStyle name="Hyperlink" xfId="1958" builtinId="8" hidden="1"/>
    <cellStyle name="Hyperlink" xfId="1960" builtinId="8" hidden="1"/>
    <cellStyle name="Hyperlink" xfId="1962" builtinId="8" hidden="1"/>
    <cellStyle name="Hyperlink" xfId="1964" builtinId="8" hidden="1"/>
    <cellStyle name="Hyperlink" xfId="1966" builtinId="8" hidden="1"/>
    <cellStyle name="Hyperlink" xfId="1968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8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6" builtinId="8" hidden="1"/>
    <cellStyle name="Hyperlink" xfId="2048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058" builtinId="8" hidden="1"/>
    <cellStyle name="Hyperlink" xfId="2060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68" builtinId="8" hidden="1"/>
    <cellStyle name="Hyperlink" xfId="2070" builtinId="8" hidden="1"/>
    <cellStyle name="Hyperlink" xfId="2072" builtinId="8" hidden="1"/>
    <cellStyle name="Hyperlink" xfId="2074" builtinId="8" hidden="1"/>
    <cellStyle name="Hyperlink" xfId="2076" builtinId="8" hidden="1"/>
    <cellStyle name="Hyperlink" xfId="2078" builtinId="8" hidden="1"/>
    <cellStyle name="Hyperlink" xfId="2080" builtinId="8" hidden="1"/>
    <cellStyle name="Hyperlink" xfId="2082" builtinId="8" hidden="1"/>
    <cellStyle name="Hyperlink" xfId="2084" builtinId="8" hidden="1"/>
    <cellStyle name="Hyperlink" xfId="2086" builtinId="8" hidden="1"/>
    <cellStyle name="Hyperlink" xfId="2088" builtinId="8" hidden="1"/>
    <cellStyle name="Hyperlink" xfId="2090" builtinId="8" hidden="1"/>
    <cellStyle name="Hyperlink" xfId="2092" builtinId="8" hidden="1"/>
    <cellStyle name="Hyperlink" xfId="2094" builtinId="8" hidden="1"/>
    <cellStyle name="Hyperlink" xfId="2096" builtinId="8" hidden="1"/>
    <cellStyle name="Hyperlink" xfId="2098" builtinId="8" hidden="1"/>
    <cellStyle name="Hyperlink" xfId="2100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08" builtinId="8" hidden="1"/>
    <cellStyle name="Hyperlink" xfId="2110" builtinId="8" hidden="1"/>
    <cellStyle name="Hyperlink" xfId="2112" builtinId="8" hidden="1"/>
    <cellStyle name="Hyperlink" xfId="2114" builtinId="8" hidden="1"/>
    <cellStyle name="Hyperlink" xfId="2116" builtinId="8" hidden="1"/>
    <cellStyle name="Hyperlink" xfId="2118" builtinId="8" hidden="1"/>
    <cellStyle name="Hyperlink" xfId="2120" builtinId="8" hidden="1"/>
    <cellStyle name="Hyperlink" xfId="2122" builtinId="8" hidden="1"/>
    <cellStyle name="Hyperlink" xfId="2124" builtinId="8" hidden="1"/>
    <cellStyle name="Hyperlink" xfId="2126" builtinId="8" hidden="1"/>
    <cellStyle name="Hyperlink" xfId="2128" builtinId="8" hidden="1"/>
    <cellStyle name="Hyperlink" xfId="2130" builtinId="8" hidden="1"/>
    <cellStyle name="Hyperlink" xfId="2132" builtinId="8" hidden="1"/>
    <cellStyle name="Hyperlink" xfId="2134" builtinId="8" hidden="1"/>
    <cellStyle name="Hyperlink" xfId="2136" builtinId="8" hidden="1"/>
    <cellStyle name="Hyperlink" xfId="2138" builtinId="8" hidden="1"/>
    <cellStyle name="Hyperlink" xfId="2140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48" builtinId="8" hidden="1"/>
    <cellStyle name="Hyperlink" xfId="2150" builtinId="8" hidden="1"/>
    <cellStyle name="Hyperlink" xfId="2152" builtinId="8" hidden="1"/>
    <cellStyle name="Hyperlink" xfId="2154" builtinId="8" hidden="1"/>
    <cellStyle name="Hyperlink" xfId="2156" builtinId="8" hidden="1"/>
    <cellStyle name="Hyperlink" xfId="2158" builtinId="8" hidden="1"/>
    <cellStyle name="Hyperlink" xfId="2160" builtinId="8" hidden="1"/>
    <cellStyle name="Hyperlink" xfId="2162" builtinId="8" hidden="1"/>
    <cellStyle name="Hyperlink" xfId="2164" builtinId="8" hidden="1"/>
    <cellStyle name="Hyperlink" xfId="2166" builtinId="8" hidden="1"/>
    <cellStyle name="Hyperlink" xfId="2168" builtinId="8" hidden="1"/>
    <cellStyle name="Hyperlink" xfId="2170" builtinId="8" hidden="1"/>
    <cellStyle name="Hyperlink" xfId="2172" builtinId="8" hidden="1"/>
    <cellStyle name="Hyperlink" xfId="2174" builtinId="8" hidden="1"/>
    <cellStyle name="Hyperlink" xfId="2176" builtinId="8" hidden="1"/>
    <cellStyle name="Hyperlink" xfId="2178" builtinId="8" hidden="1"/>
    <cellStyle name="Hyperlink" xfId="2180" builtinId="8" hidden="1"/>
    <cellStyle name="Hyperlink" xfId="2182" builtinId="8" hidden="1"/>
    <cellStyle name="Hyperlink" xfId="2184" builtinId="8" hidden="1"/>
    <cellStyle name="Hyperlink" xfId="2186" builtinId="8" hidden="1"/>
    <cellStyle name="Hyperlink" xfId="2188" builtinId="8" hidden="1"/>
    <cellStyle name="Hyperlink" xfId="2190" builtinId="8" hidden="1"/>
    <cellStyle name="Hyperlink" xfId="2192" builtinId="8" hidden="1"/>
    <cellStyle name="Hyperlink" xfId="2194" builtinId="8" hidden="1"/>
    <cellStyle name="Hyperlink" xfId="2196" builtinId="8" hidden="1"/>
    <cellStyle name="Hyperlink" xfId="2198" builtinId="8" hidden="1"/>
    <cellStyle name="Hyperlink" xfId="2200" builtinId="8" hidden="1"/>
    <cellStyle name="Hyperlink" xfId="2202" builtinId="8" hidden="1"/>
    <cellStyle name="Hyperlink" xfId="2204" builtinId="8" hidden="1"/>
    <cellStyle name="Hyperlink" xfId="2206" builtinId="8" hidden="1"/>
    <cellStyle name="Hyperlink" xfId="2208" builtinId="8" hidden="1"/>
    <cellStyle name="Hyperlink" xfId="2210" builtinId="8" hidden="1"/>
    <cellStyle name="Hyperlink" xfId="2212" builtinId="8" hidden="1"/>
    <cellStyle name="Hyperlink" xfId="2214" builtinId="8" hidden="1"/>
    <cellStyle name="Hyperlink" xfId="2216" builtinId="8" hidden="1"/>
    <cellStyle name="Hyperlink" xfId="2218" builtinId="8" hidden="1"/>
    <cellStyle name="Hyperlink" xfId="2220" builtinId="8" hidden="1"/>
    <cellStyle name="Hyperlink" xfId="2222" builtinId="8" hidden="1"/>
    <cellStyle name="Hyperlink" xfId="2224" builtinId="8" hidden="1"/>
    <cellStyle name="Hyperlink" xfId="2226" builtinId="8" hidden="1"/>
    <cellStyle name="Hyperlink" xfId="2228" builtinId="8" hidden="1"/>
    <cellStyle name="Hyperlink" xfId="2230" builtinId="8" hidden="1"/>
    <cellStyle name="Hyperlink" xfId="2232" builtinId="8" hidden="1"/>
    <cellStyle name="Hyperlink" xfId="2234" builtinId="8" hidden="1"/>
    <cellStyle name="Hyperlink" xfId="2236" builtinId="8" hidden="1"/>
    <cellStyle name="Hyperlink" xfId="2238" builtinId="8" hidden="1"/>
    <cellStyle name="Hyperlink" xfId="2240" builtinId="8" hidden="1"/>
    <cellStyle name="Hyperlink" xfId="2242" builtinId="8" hidden="1"/>
    <cellStyle name="Hyperlink" xfId="2244" builtinId="8" hidden="1"/>
    <cellStyle name="Hyperlink" xfId="2246" builtinId="8" hidden="1"/>
    <cellStyle name="Hyperlink" xfId="2248" builtinId="8" hidden="1"/>
    <cellStyle name="Hyperlink" xfId="2250" builtinId="8" hidden="1"/>
    <cellStyle name="Hyperlink" xfId="2252" builtinId="8" hidden="1"/>
    <cellStyle name="Hyperlink" xfId="2254" builtinId="8" hidden="1"/>
    <cellStyle name="Hyperlink" xfId="2256" builtinId="8" hidden="1"/>
    <cellStyle name="Hyperlink" xfId="2258" builtinId="8" hidden="1"/>
    <cellStyle name="Hyperlink" xfId="2260" builtinId="8" hidden="1"/>
    <cellStyle name="Hyperlink" xfId="2262" builtinId="8" hidden="1"/>
    <cellStyle name="Hyperlink" xfId="2264" builtinId="8" hidden="1"/>
    <cellStyle name="Hyperlink" xfId="2266" builtinId="8" hidden="1"/>
    <cellStyle name="Hyperlink" xfId="2268" builtinId="8" hidden="1"/>
    <cellStyle name="Hyperlink" xfId="2270" builtinId="8" hidden="1"/>
    <cellStyle name="Hyperlink" xfId="2272" builtinId="8" hidden="1"/>
    <cellStyle name="Hyperlink" xfId="2274" builtinId="8" hidden="1"/>
    <cellStyle name="Hyperlink" xfId="2276" builtinId="8" hidden="1"/>
    <cellStyle name="Hyperlink" xfId="2278" builtinId="8" hidden="1"/>
    <cellStyle name="Hyperlink" xfId="2280" builtinId="8" hidden="1"/>
    <cellStyle name="Hyperlink" xfId="2282" builtinId="8" hidden="1"/>
    <cellStyle name="Hyperlink" xfId="2284" builtinId="8" hidden="1"/>
    <cellStyle name="Hyperlink" xfId="2286" builtinId="8" hidden="1"/>
    <cellStyle name="Hyperlink" xfId="2288" builtinId="8" hidden="1"/>
    <cellStyle name="Hyperlink" xfId="2290" builtinId="8" hidden="1"/>
    <cellStyle name="Hyperlink" xfId="2292" builtinId="8" hidden="1"/>
    <cellStyle name="Hyperlink" xfId="2294" builtinId="8" hidden="1"/>
    <cellStyle name="Hyperlink" xfId="2296" builtinId="8" hidden="1"/>
    <cellStyle name="Hyperlink" xfId="2298" builtinId="8" hidden="1"/>
    <cellStyle name="Hyperlink" xfId="2300" builtinId="8" hidden="1"/>
    <cellStyle name="Hyperlink" xfId="2302" builtinId="8" hidden="1"/>
    <cellStyle name="Hyperlink" xfId="2304" builtinId="8" hidden="1"/>
    <cellStyle name="Hyperlink" xfId="2306" builtinId="8" hidden="1"/>
    <cellStyle name="Hyperlink" xfId="2308" builtinId="8" hidden="1"/>
    <cellStyle name="Hyperlink" xfId="2310" builtinId="8" hidden="1"/>
    <cellStyle name="Hyperlink" xfId="2312" builtinId="8" hidden="1"/>
    <cellStyle name="Hyperlink" xfId="2314" builtinId="8" hidden="1"/>
    <cellStyle name="Hyperlink" xfId="2316" builtinId="8" hidden="1"/>
    <cellStyle name="Hyperlink" xfId="2318" builtinId="8" hidden="1"/>
    <cellStyle name="Hyperlink" xfId="2320" builtinId="8" hidden="1"/>
    <cellStyle name="Hyperlink" xfId="2322" builtinId="8" hidden="1"/>
    <cellStyle name="Hyperlink" xfId="2324" builtinId="8" hidden="1"/>
    <cellStyle name="Hyperlink" xfId="2326" builtinId="8" hidden="1"/>
    <cellStyle name="Hyperlink" xfId="232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36" builtinId="8" hidden="1"/>
    <cellStyle name="Hyperlink" xfId="2338" builtinId="8" hidden="1"/>
    <cellStyle name="Hyperlink" xfId="2340" builtinId="8" hidden="1"/>
    <cellStyle name="Hyperlink" xfId="2342" builtinId="8" hidden="1"/>
    <cellStyle name="Hyperlink" xfId="2344" builtinId="8" hidden="1"/>
    <cellStyle name="Hyperlink" xfId="2346" builtinId="8" hidden="1"/>
    <cellStyle name="Hyperlink" xfId="2348" builtinId="8" hidden="1"/>
    <cellStyle name="Hyperlink" xfId="2350" builtinId="8" hidden="1"/>
    <cellStyle name="Hyperlink" xfId="2352" builtinId="8" hidden="1"/>
    <cellStyle name="Hyperlink" xfId="2354" builtinId="8" hidden="1"/>
    <cellStyle name="Hyperlink" xfId="2356" builtinId="8" hidden="1"/>
    <cellStyle name="Hyperlink" xfId="2358" builtinId="8" hidden="1"/>
    <cellStyle name="Hyperlink" xfId="2360" builtinId="8" hidden="1"/>
    <cellStyle name="Hyperlink" xfId="2362" builtinId="8" hidden="1"/>
    <cellStyle name="Hyperlink" xfId="2364" builtinId="8" hidden="1"/>
    <cellStyle name="Hyperlink" xfId="2366" builtinId="8" hidden="1"/>
    <cellStyle name="Hyperlink" xfId="2368" builtinId="8" hidden="1"/>
    <cellStyle name="Hyperlink" xfId="2370" builtinId="8" hidden="1"/>
    <cellStyle name="Hyperlink" xfId="2372" builtinId="8" hidden="1"/>
    <cellStyle name="Hyperlink" xfId="2374" builtinId="8" hidden="1"/>
    <cellStyle name="Hyperlink" xfId="2376" builtinId="8" hidden="1"/>
    <cellStyle name="Hyperlink" xfId="2378" builtinId="8" hidden="1"/>
    <cellStyle name="Hyperlink" xfId="2380" builtinId="8" hidden="1"/>
    <cellStyle name="Hyperlink" xfId="2382" builtinId="8" hidden="1"/>
    <cellStyle name="Hyperlink" xfId="2384" builtinId="8" hidden="1"/>
    <cellStyle name="Hyperlink" xfId="2386" builtinId="8" hidden="1"/>
    <cellStyle name="Hyperlink" xfId="2388" builtinId="8" hidden="1"/>
    <cellStyle name="Hyperlink" xfId="2390" builtinId="8" hidden="1"/>
    <cellStyle name="Hyperlink" xfId="2392" builtinId="8" hidden="1"/>
    <cellStyle name="Hyperlink" xfId="2394" builtinId="8" hidden="1"/>
    <cellStyle name="Hyperlink" xfId="2396" builtinId="8" hidden="1"/>
    <cellStyle name="Hyperlink" xfId="2398" builtinId="8" hidden="1"/>
    <cellStyle name="Hyperlink" xfId="2400" builtinId="8" hidden="1"/>
    <cellStyle name="Hyperlink" xfId="2402" builtinId="8" hidden="1"/>
    <cellStyle name="Hyperlink" xfId="2404" builtinId="8" hidden="1"/>
    <cellStyle name="Hyperlink" xfId="2406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416" builtinId="8" hidden="1"/>
    <cellStyle name="Hyperlink" xfId="2418" builtinId="8" hidden="1"/>
    <cellStyle name="Hyperlink" xfId="2420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428" builtinId="8" hidden="1"/>
    <cellStyle name="Hyperlink" xfId="2430" builtinId="8" hidden="1"/>
    <cellStyle name="Hyperlink" xfId="2432" builtinId="8" hidden="1"/>
    <cellStyle name="Hyperlink" xfId="2434" builtinId="8" hidden="1"/>
    <cellStyle name="Hyperlink" xfId="2436" builtinId="8" hidden="1"/>
    <cellStyle name="Hyperlink" xfId="2438" builtinId="8" hidden="1"/>
    <cellStyle name="Hyperlink" xfId="2440" builtinId="8" hidden="1"/>
    <cellStyle name="Hyperlink" xfId="2442" builtinId="8" hidden="1"/>
    <cellStyle name="Hyperlink" xfId="2444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6" builtinId="8" hidden="1"/>
    <cellStyle name="Hyperlink" xfId="2598" builtinId="8" hidden="1"/>
    <cellStyle name="Hyperlink" xfId="2600" builtinId="8" hidden="1"/>
    <cellStyle name="Hyperlink" xfId="2602" builtinId="8" hidden="1"/>
    <cellStyle name="Hyperlink" xfId="2604" builtinId="8" hidden="1"/>
    <cellStyle name="Hyperlink" xfId="2606" builtinId="8" hidden="1"/>
    <cellStyle name="Hyperlink" xfId="2608" builtinId="8" hidden="1"/>
    <cellStyle name="Hyperlink" xfId="2610" builtinId="8" hidden="1"/>
    <cellStyle name="Hyperlink" xfId="2612" builtinId="8" hidden="1"/>
    <cellStyle name="Hyperlink" xfId="2614" builtinId="8" hidden="1"/>
    <cellStyle name="Hyperlink" xfId="2616" builtinId="8" hidden="1"/>
    <cellStyle name="Hyperlink" xfId="2618" builtinId="8" hidden="1"/>
    <cellStyle name="Hyperlink" xfId="2620" builtinId="8" hidden="1"/>
    <cellStyle name="Hyperlink" xfId="2622" builtinId="8" hidden="1"/>
    <cellStyle name="Hyperlink" xfId="2624" builtinId="8" hidden="1"/>
    <cellStyle name="Hyperlink" xfId="2626" builtinId="8" hidden="1"/>
    <cellStyle name="Hyperlink" xfId="2628" builtinId="8" hidden="1"/>
    <cellStyle name="Hyperlink" xfId="2630" builtinId="8" hidden="1"/>
    <cellStyle name="Hyperlink" xfId="2632" builtinId="8" hidden="1"/>
    <cellStyle name="Hyperlink" xfId="2634" builtinId="8" hidden="1"/>
    <cellStyle name="Hyperlink" xfId="2636" builtinId="8" hidden="1"/>
    <cellStyle name="Hyperlink" xfId="2638" builtinId="8" hidden="1"/>
    <cellStyle name="Hyperlink" xfId="2640" builtinId="8" hidden="1"/>
    <cellStyle name="Hyperlink" xfId="2642" builtinId="8" hidden="1"/>
    <cellStyle name="Hyperlink" xfId="2644" builtinId="8" hidden="1"/>
    <cellStyle name="Hyperlink" xfId="2646" builtinId="8" hidden="1"/>
    <cellStyle name="Hyperlink" xfId="2648" builtinId="8" hidden="1"/>
    <cellStyle name="Hyperlink" xfId="2650" builtinId="8" hidden="1"/>
    <cellStyle name="Hyperlink" xfId="2652" builtinId="8" hidden="1"/>
    <cellStyle name="Hyperlink" xfId="2654" builtinId="8" hidden="1"/>
    <cellStyle name="Hyperlink" xfId="2656" builtinId="8" hidden="1"/>
    <cellStyle name="Hyperlink" xfId="2658" builtinId="8" hidden="1"/>
    <cellStyle name="Hyperlink" xfId="2660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68" builtinId="8" hidden="1"/>
    <cellStyle name="Hyperlink" xfId="2670" builtinId="8" hidden="1"/>
    <cellStyle name="Hyperlink" xfId="2672" builtinId="8" hidden="1"/>
    <cellStyle name="Hyperlink" xfId="2674" builtinId="8" hidden="1"/>
    <cellStyle name="Hyperlink" xfId="2676" builtinId="8" hidden="1"/>
    <cellStyle name="Hyperlink" xfId="2678" builtinId="8" hidden="1"/>
    <cellStyle name="Hyperlink" xfId="2680" builtinId="8" hidden="1"/>
    <cellStyle name="Hyperlink" xfId="2682" builtinId="8" hidden="1"/>
    <cellStyle name="Hyperlink" xfId="2684" builtinId="8" hidden="1"/>
    <cellStyle name="Hyperlink" xfId="2686" builtinId="8" hidden="1"/>
    <cellStyle name="Hyperlink" xfId="2688" builtinId="8" hidden="1"/>
    <cellStyle name="Hyperlink" xfId="2690" builtinId="8" hidden="1"/>
    <cellStyle name="Hyperlink" xfId="2692" builtinId="8" hidden="1"/>
    <cellStyle name="Hyperlink" xfId="2694" builtinId="8" hidden="1"/>
    <cellStyle name="Hyperlink" xfId="2696" builtinId="8" hidden="1"/>
    <cellStyle name="Hyperlink" xfId="2698" builtinId="8" hidden="1"/>
    <cellStyle name="Hyperlink" xfId="2700" builtinId="8" hidden="1"/>
    <cellStyle name="Hyperlink" xfId="2702" builtinId="8" hidden="1"/>
    <cellStyle name="Hyperlink" xfId="2704" builtinId="8" hidden="1"/>
    <cellStyle name="Hyperlink" xfId="2706" builtinId="8" hidden="1"/>
    <cellStyle name="Hyperlink" xfId="2708" builtinId="8" hidden="1"/>
    <cellStyle name="Hyperlink" xfId="2710" builtinId="8" hidden="1"/>
    <cellStyle name="Hyperlink" xfId="2712" builtinId="8" hidden="1"/>
    <cellStyle name="Hyperlink" xfId="2714" builtinId="8" hidden="1"/>
    <cellStyle name="Hyperlink" xfId="2716" builtinId="8" hidden="1"/>
    <cellStyle name="Hyperlink" xfId="2718" builtinId="8" hidden="1"/>
    <cellStyle name="Hyperlink" xfId="2720" builtinId="8" hidden="1"/>
    <cellStyle name="Hyperlink" xfId="2722" builtinId="8" hidden="1"/>
    <cellStyle name="Hyperlink" xfId="2724" builtinId="8" hidden="1"/>
    <cellStyle name="Hyperlink" xfId="2726" builtinId="8" hidden="1"/>
    <cellStyle name="Hyperlink" xfId="2728" builtinId="8" hidden="1"/>
    <cellStyle name="Hyperlink" xfId="2730" builtinId="8" hidden="1"/>
    <cellStyle name="Hyperlink" xfId="2732" builtinId="8" hidden="1"/>
    <cellStyle name="Hyperlink" xfId="2734" builtinId="8" hidden="1"/>
    <cellStyle name="Hyperlink" xfId="2736" builtinId="8" hidden="1"/>
    <cellStyle name="Hyperlink" xfId="2738" builtinId="8" hidden="1"/>
    <cellStyle name="Hyperlink" xfId="2740" builtinId="8" hidden="1"/>
    <cellStyle name="Hyperlink" xfId="2742" builtinId="8" hidden="1"/>
    <cellStyle name="Hyperlink" xfId="2744" builtinId="8" hidden="1"/>
    <cellStyle name="Hyperlink" xfId="2746" builtinId="8" hidden="1"/>
    <cellStyle name="Hyperlink" xfId="2748" builtinId="8" hidden="1"/>
    <cellStyle name="Hyperlink" xfId="2750" builtinId="8" hidden="1"/>
    <cellStyle name="Hyperlink" xfId="2752" builtinId="8" hidden="1"/>
    <cellStyle name="Hyperlink" xfId="2754" builtinId="8" hidden="1"/>
    <cellStyle name="Hyperlink" xfId="2756" builtinId="8" hidden="1"/>
    <cellStyle name="Hyperlink" xfId="2758" builtinId="8" hidden="1"/>
    <cellStyle name="Hyperlink" xfId="2760" builtinId="8" hidden="1"/>
    <cellStyle name="Hyperlink" xfId="2762" builtinId="8" hidden="1"/>
    <cellStyle name="Hyperlink" xfId="2764" builtinId="8" hidden="1"/>
    <cellStyle name="Hyperlink" xfId="2766" builtinId="8" hidden="1"/>
    <cellStyle name="Hyperlink" xfId="2768" builtinId="8" hidden="1"/>
    <cellStyle name="Hyperlink" xfId="2770" builtinId="8" hidden="1"/>
    <cellStyle name="Hyperlink" xfId="2772" builtinId="8" hidden="1"/>
    <cellStyle name="Hyperlink" xfId="2774" builtinId="8" hidden="1"/>
    <cellStyle name="Hyperlink" xfId="2776" builtinId="8" hidden="1"/>
    <cellStyle name="Hyperlink" xfId="2778" builtinId="8" hidden="1"/>
    <cellStyle name="Hyperlink" xfId="2780" builtinId="8" hidden="1"/>
    <cellStyle name="Hyperlink" xfId="2782" builtinId="8" hidden="1"/>
    <cellStyle name="Hyperlink" xfId="2784" builtinId="8" hidden="1"/>
    <cellStyle name="Hyperlink" xfId="2786" builtinId="8" hidden="1"/>
    <cellStyle name="Hyperlink" xfId="2788" builtinId="8" hidden="1"/>
    <cellStyle name="Hyperlink" xfId="2790" builtinId="8" hidden="1"/>
    <cellStyle name="Hyperlink" xfId="2792" builtinId="8" hidden="1"/>
    <cellStyle name="Hyperlink" xfId="2794" builtinId="8" hidden="1"/>
    <cellStyle name="Hyperlink" xfId="2796" builtinId="8" hidden="1"/>
    <cellStyle name="Hyperlink" xfId="2798" builtinId="8" hidden="1"/>
    <cellStyle name="Hyperlink" xfId="2800" builtinId="8" hidden="1"/>
    <cellStyle name="Hyperlink" xfId="2802" builtinId="8" hidden="1"/>
    <cellStyle name="Hyperlink" xfId="2804" builtinId="8" hidden="1"/>
    <cellStyle name="Hyperlink" xfId="2806" builtinId="8" hidden="1"/>
    <cellStyle name="Hyperlink" xfId="2808" builtinId="8" hidden="1"/>
    <cellStyle name="Hyperlink" xfId="2810" builtinId="8" hidden="1"/>
    <cellStyle name="Hyperlink" xfId="2812" builtinId="8" hidden="1"/>
    <cellStyle name="Hyperlink" xfId="2814" builtinId="8" hidden="1"/>
    <cellStyle name="Hyperlink" xfId="2816" builtinId="8" hidden="1"/>
    <cellStyle name="Hyperlink" xfId="2818" builtinId="8" hidden="1"/>
    <cellStyle name="Hyperlink" xfId="2820" builtinId="8" hidden="1"/>
    <cellStyle name="Hyperlink" xfId="2822" builtinId="8" hidden="1"/>
    <cellStyle name="Hyperlink" xfId="2824" builtinId="8" hidden="1"/>
    <cellStyle name="Hyperlink" xfId="2826" builtinId="8" hidden="1"/>
    <cellStyle name="Hyperlink" xfId="2828" builtinId="8" hidden="1"/>
    <cellStyle name="Hyperlink" xfId="2830" builtinId="8" hidden="1"/>
    <cellStyle name="Hyperlink" xfId="2832" builtinId="8" hidden="1"/>
    <cellStyle name="Hyperlink" xfId="2834" builtinId="8" hidden="1"/>
    <cellStyle name="Hyperlink" xfId="2836" builtinId="8" hidden="1"/>
    <cellStyle name="Hyperlink" xfId="2838" builtinId="8" hidden="1"/>
    <cellStyle name="Hyperlink" xfId="2840" builtinId="8" hidden="1"/>
    <cellStyle name="Hyperlink" xfId="2842" builtinId="8" hidden="1"/>
    <cellStyle name="Hyperlink" xfId="2844" builtinId="8" hidden="1"/>
    <cellStyle name="Hyperlink" xfId="2846" builtinId="8" hidden="1"/>
    <cellStyle name="Hyperlink" xfId="2848" builtinId="8" hidden="1"/>
    <cellStyle name="Hyperlink" xfId="2850" builtinId="8" hidden="1"/>
    <cellStyle name="Hyperlink" xfId="2852" builtinId="8" hidden="1"/>
    <cellStyle name="Hyperlink" xfId="2854" builtinId="8" hidden="1"/>
    <cellStyle name="Hyperlink" xfId="2856" builtinId="8" hidden="1"/>
    <cellStyle name="Hyperlink" xfId="2858" builtinId="8" hidden="1"/>
    <cellStyle name="Hyperlink" xfId="2860" builtinId="8" hidden="1"/>
    <cellStyle name="Hyperlink" xfId="2862" builtinId="8" hidden="1"/>
    <cellStyle name="Hyperlink" xfId="2864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2" builtinId="8" hidden="1"/>
    <cellStyle name="Hyperlink" xfId="2874" builtinId="8" hidden="1"/>
    <cellStyle name="Hyperlink" xfId="2876" builtinId="8" hidden="1"/>
    <cellStyle name="Hyperlink" xfId="2878" builtinId="8" hidden="1"/>
    <cellStyle name="Hyperlink" xfId="2880" builtinId="8" hidden="1"/>
    <cellStyle name="Hyperlink" xfId="2882" builtinId="8" hidden="1"/>
    <cellStyle name="Hyperlink" xfId="2884" builtinId="8" hidden="1"/>
    <cellStyle name="Hyperlink" xfId="2886" builtinId="8" hidden="1"/>
    <cellStyle name="Hyperlink" xfId="2888" builtinId="8" hidden="1"/>
    <cellStyle name="Hyperlink" xfId="2890" builtinId="8" hidden="1"/>
    <cellStyle name="Hyperlink" xfId="2892" builtinId="8" hidden="1"/>
    <cellStyle name="Hyperlink" xfId="2894" builtinId="8" hidden="1"/>
    <cellStyle name="Hyperlink" xfId="2896" builtinId="8" hidden="1"/>
    <cellStyle name="Hyperlink" xfId="2898" builtinId="8" hidden="1"/>
    <cellStyle name="Hyperlink" xfId="2900" builtinId="8" hidden="1"/>
    <cellStyle name="Hyperlink" xfId="2902" builtinId="8" hidden="1"/>
    <cellStyle name="Hyperlink" xfId="2904" builtinId="8" hidden="1"/>
    <cellStyle name="Hyperlink" xfId="2906" builtinId="8" hidden="1"/>
    <cellStyle name="Hyperlink" xfId="2908" builtinId="8" hidden="1"/>
    <cellStyle name="Hyperlink" xfId="2910" builtinId="8" hidden="1"/>
    <cellStyle name="Hyperlink" xfId="2912" builtinId="8" hidden="1"/>
    <cellStyle name="Hyperlink" xfId="2914" builtinId="8" hidden="1"/>
    <cellStyle name="Hyperlink" xfId="2916" builtinId="8" hidden="1"/>
    <cellStyle name="Hyperlink" xfId="2918" builtinId="8" hidden="1"/>
    <cellStyle name="Hyperlink" xfId="2920" builtinId="8" hidden="1"/>
    <cellStyle name="Hyperlink" xfId="2922" builtinId="8" hidden="1"/>
    <cellStyle name="Hyperlink" xfId="2924" builtinId="8" hidden="1"/>
    <cellStyle name="Hyperlink" xfId="2926" builtinId="8" hidden="1"/>
    <cellStyle name="Hyperlink" xfId="2928" builtinId="8" hidden="1"/>
    <cellStyle name="Hyperlink" xfId="2930" builtinId="8" hidden="1"/>
    <cellStyle name="Hyperlink" xfId="2932" builtinId="8" hidden="1"/>
    <cellStyle name="Hyperlink" xfId="2934" builtinId="8" hidden="1"/>
    <cellStyle name="Hyperlink" xfId="2936" builtinId="8" hidden="1"/>
    <cellStyle name="Hyperlink" xfId="2938" builtinId="8" hidden="1"/>
    <cellStyle name="Hyperlink" xfId="2940" builtinId="8" hidden="1"/>
    <cellStyle name="Hyperlink" xfId="2942" builtinId="8" hidden="1"/>
    <cellStyle name="Hyperlink" xfId="2944" builtinId="8" hidden="1"/>
    <cellStyle name="Hyperlink" xfId="2946" builtinId="8" hidden="1"/>
    <cellStyle name="Hyperlink" xfId="2948" builtinId="8" hidden="1"/>
    <cellStyle name="Hyperlink" xfId="2950" builtinId="8" hidden="1"/>
    <cellStyle name="Hyperlink" xfId="2952" builtinId="8" hidden="1"/>
    <cellStyle name="Hyperlink" xfId="2954" builtinId="8" hidden="1"/>
    <cellStyle name="Hyperlink" xfId="2956" builtinId="8" hidden="1"/>
    <cellStyle name="Hyperlink" xfId="2958" builtinId="8" hidden="1"/>
    <cellStyle name="Hyperlink" xfId="2960" builtinId="8" hidden="1"/>
    <cellStyle name="Hyperlink" xfId="2962" builtinId="8" hidden="1"/>
    <cellStyle name="Hyperlink" xfId="2964" builtinId="8" hidden="1"/>
    <cellStyle name="Hyperlink" xfId="2966" builtinId="8" hidden="1"/>
    <cellStyle name="Hyperlink" xfId="2968" builtinId="8" hidden="1"/>
    <cellStyle name="Hyperlink" xfId="2970" builtinId="8" hidden="1"/>
    <cellStyle name="Hyperlink" xfId="2972" builtinId="8" hidden="1"/>
    <cellStyle name="Hyperlink" xfId="2974" builtinId="8" hidden="1"/>
    <cellStyle name="Hyperlink" xfId="2976" builtinId="8" hidden="1"/>
    <cellStyle name="Hyperlink" xfId="2978" builtinId="8" hidden="1"/>
    <cellStyle name="Hyperlink" xfId="2980" builtinId="8" hidden="1"/>
    <cellStyle name="Hyperlink" xfId="2982" builtinId="8" hidden="1"/>
    <cellStyle name="Hyperlink" xfId="2984" builtinId="8" hidden="1"/>
    <cellStyle name="Hyperlink" xfId="2986" builtinId="8" hidden="1"/>
    <cellStyle name="Hyperlink" xfId="2988" builtinId="8" hidden="1"/>
    <cellStyle name="Hyperlink" xfId="2990" builtinId="8" hidden="1"/>
    <cellStyle name="Hyperlink" xfId="2992" builtinId="8" hidden="1"/>
    <cellStyle name="Hyperlink" xfId="2994" builtinId="8" hidden="1"/>
    <cellStyle name="Hyperlink" xfId="2996" builtinId="8" hidden="1"/>
    <cellStyle name="Hyperlink" xfId="2998" builtinId="8" hidden="1"/>
    <cellStyle name="Hyperlink" xfId="3000" builtinId="8" hidden="1"/>
    <cellStyle name="Hyperlink" xfId="3002" builtinId="8" hidden="1"/>
    <cellStyle name="Hyperlink" xfId="3004" builtinId="8" hidden="1"/>
    <cellStyle name="Hyperlink" xfId="3006" builtinId="8" hidden="1"/>
    <cellStyle name="Hyperlink" xfId="3008" builtinId="8" hidden="1"/>
    <cellStyle name="Hyperlink" xfId="3010" builtinId="8" hidden="1"/>
    <cellStyle name="Hyperlink" xfId="3012" builtinId="8" hidden="1"/>
    <cellStyle name="Hyperlink" xfId="3014" builtinId="8" hidden="1"/>
    <cellStyle name="Hyperlink" xfId="3016" builtinId="8" hidden="1"/>
    <cellStyle name="Hyperlink" xfId="3018" builtinId="8" hidden="1"/>
    <cellStyle name="Hyperlink" xfId="3020" builtinId="8" hidden="1"/>
    <cellStyle name="Hyperlink" xfId="3022" builtinId="8" hidden="1"/>
    <cellStyle name="Hyperlink" xfId="3024" builtinId="8" hidden="1"/>
    <cellStyle name="Hyperlink" xfId="3026" builtinId="8" hidden="1"/>
    <cellStyle name="Hyperlink" xfId="3028" builtinId="8" hidden="1"/>
    <cellStyle name="Hyperlink" xfId="3030" builtinId="8" hidden="1"/>
    <cellStyle name="Hyperlink" xfId="3032" builtinId="8" hidden="1"/>
    <cellStyle name="Hyperlink" xfId="3034" builtinId="8" hidden="1"/>
    <cellStyle name="Hyperlink" xfId="3036" builtinId="8" hidden="1"/>
    <cellStyle name="Hyperlink" xfId="3038" builtinId="8" hidden="1"/>
    <cellStyle name="Hyperlink" xfId="3040" builtinId="8" hidden="1"/>
    <cellStyle name="Hyperlink" xfId="3042" builtinId="8" hidden="1"/>
    <cellStyle name="Hyperlink" xfId="3044" builtinId="8" hidden="1"/>
    <cellStyle name="Hyperlink" xfId="3046" builtinId="8" hidden="1"/>
    <cellStyle name="Hyperlink" xfId="3048" builtinId="8" hidden="1"/>
    <cellStyle name="Hyperlink" xfId="3050" builtinId="8" hidden="1"/>
    <cellStyle name="Hyperlink" xfId="3052" builtinId="8" hidden="1"/>
    <cellStyle name="Hyperlink" xfId="3054" builtinId="8" hidden="1"/>
    <cellStyle name="Hyperlink" xfId="3056" builtinId="8" hidden="1"/>
    <cellStyle name="Hyperlink" xfId="3058" builtinId="8" hidden="1"/>
    <cellStyle name="Hyperlink" xfId="3060" builtinId="8" hidden="1"/>
    <cellStyle name="Hyperlink" xfId="3062" builtinId="8" hidden="1"/>
    <cellStyle name="Hyperlink" xfId="3064" builtinId="8" hidden="1"/>
    <cellStyle name="Hyperlink" xfId="3066" builtinId="8" hidden="1"/>
    <cellStyle name="Hyperlink" xfId="3068" builtinId="8" hidden="1"/>
    <cellStyle name="Hyperlink" xfId="3070" builtinId="8" hidden="1"/>
    <cellStyle name="Hyperlink" xfId="3072" builtinId="8" hidden="1"/>
    <cellStyle name="Hyperlink" xfId="3074" builtinId="8" hidden="1"/>
    <cellStyle name="Hyperlink" xfId="3076" builtinId="8" hidden="1"/>
    <cellStyle name="Hyperlink" xfId="3078" builtinId="8" hidden="1"/>
    <cellStyle name="Hyperlink" xfId="3080" builtinId="8" hidden="1"/>
    <cellStyle name="Hyperlink" xfId="3082" builtinId="8" hidden="1"/>
    <cellStyle name="Hyperlink" xfId="3084" builtinId="8" hidden="1"/>
    <cellStyle name="Hyperlink" xfId="3086" builtinId="8" hidden="1"/>
    <cellStyle name="Hyperlink" xfId="3088" builtinId="8" hidden="1"/>
    <cellStyle name="Hyperlink" xfId="3090" builtinId="8" hidden="1"/>
    <cellStyle name="Hyperlink" xfId="3092" builtinId="8" hidden="1"/>
    <cellStyle name="Hyperlink" xfId="3094" builtinId="8" hidden="1"/>
    <cellStyle name="Hyperlink" xfId="3096" builtinId="8" hidden="1"/>
    <cellStyle name="Hyperlink" xfId="3098" builtinId="8" hidden="1"/>
    <cellStyle name="Hyperlink" xfId="3100" builtinId="8" hidden="1"/>
    <cellStyle name="Hyperlink" xfId="3102" builtinId="8" hidden="1"/>
    <cellStyle name="Hyperlink" xfId="3104" builtinId="8" hidden="1"/>
    <cellStyle name="Hyperlink" xfId="3106" builtinId="8" hidden="1"/>
    <cellStyle name="Hyperlink" xfId="3108" builtinId="8" hidden="1"/>
    <cellStyle name="Hyperlink" xfId="3110" builtinId="8" hidden="1"/>
    <cellStyle name="Hyperlink" xfId="3112" builtinId="8" hidden="1"/>
    <cellStyle name="Hyperlink" xfId="3114" builtinId="8" hidden="1"/>
    <cellStyle name="Hyperlink" xfId="3116" builtinId="8" hidden="1"/>
    <cellStyle name="Hyperlink" xfId="3118" builtinId="8" hidden="1"/>
    <cellStyle name="Hyperlink" xfId="3120" builtinId="8" hidden="1"/>
    <cellStyle name="Hyperlink" xfId="3122" builtinId="8" hidden="1"/>
    <cellStyle name="Hyperlink" xfId="3124" builtinId="8" hidden="1"/>
    <cellStyle name="Hyperlink" xfId="3126" builtinId="8" hidden="1"/>
    <cellStyle name="Hyperlink" xfId="3128" builtinId="8" hidden="1"/>
    <cellStyle name="Hyperlink" xfId="3130" builtinId="8" hidden="1"/>
    <cellStyle name="Hyperlink" xfId="3132" builtinId="8" hidden="1"/>
    <cellStyle name="Hyperlink" xfId="3134" builtinId="8" hidden="1"/>
    <cellStyle name="Hyperlink" xfId="3136" builtinId="8" hidden="1"/>
    <cellStyle name="Hyperlink" xfId="3138" builtinId="8" hidden="1"/>
    <cellStyle name="Hyperlink" xfId="3140" builtinId="8" hidden="1"/>
    <cellStyle name="Hyperlink" xfId="3142" builtinId="8" hidden="1"/>
    <cellStyle name="Hyperlink" xfId="3144" builtinId="8" hidden="1"/>
    <cellStyle name="Hyperlink" xfId="3146" builtinId="8" hidden="1"/>
    <cellStyle name="Hyperlink" xfId="3148" builtinId="8" hidden="1"/>
    <cellStyle name="Hyperlink" xfId="3150" builtinId="8" hidden="1"/>
    <cellStyle name="Hyperlink" xfId="3152" builtinId="8" hidden="1"/>
    <cellStyle name="Hyperlink" xfId="3154" builtinId="8" hidden="1"/>
    <cellStyle name="Hyperlink" xfId="3156" builtinId="8" hidden="1"/>
    <cellStyle name="Hyperlink" xfId="3158" builtinId="8" hidden="1"/>
    <cellStyle name="Hyperlink" xfId="3160" builtinId="8" hidden="1"/>
    <cellStyle name="Hyperlink" xfId="3162" builtinId="8" hidden="1"/>
    <cellStyle name="Hyperlink" xfId="3164" builtinId="8" hidden="1"/>
    <cellStyle name="Hyperlink" xfId="3166" builtinId="8" hidden="1"/>
    <cellStyle name="Hyperlink" xfId="3168" builtinId="8" hidden="1"/>
    <cellStyle name="Hyperlink" xfId="3170" builtinId="8" hidden="1"/>
    <cellStyle name="Hyperlink" xfId="3172" builtinId="8" hidden="1"/>
    <cellStyle name="Hyperlink" xfId="3174" builtinId="8" hidden="1"/>
    <cellStyle name="Hyperlink" xfId="3176" builtinId="8" hidden="1"/>
    <cellStyle name="Hyperlink" xfId="3178" builtinId="8" hidden="1"/>
    <cellStyle name="Hyperlink" xfId="3180" builtinId="8" hidden="1"/>
    <cellStyle name="Hyperlink" xfId="3182" builtinId="8" hidden="1"/>
    <cellStyle name="Hyperlink" xfId="3184" builtinId="8" hidden="1"/>
    <cellStyle name="Hyperlink" xfId="3186" builtinId="8" hidden="1"/>
    <cellStyle name="Hyperlink" xfId="3188" builtinId="8" hidden="1"/>
    <cellStyle name="Hyperlink" xfId="3190" builtinId="8" hidden="1"/>
    <cellStyle name="Hyperlink" xfId="3192" builtinId="8" hidden="1"/>
    <cellStyle name="Hyperlink" xfId="3194" builtinId="8" hidden="1"/>
    <cellStyle name="Hyperlink" xfId="3196" builtinId="8" hidden="1"/>
    <cellStyle name="Hyperlink" xfId="3198" builtinId="8" hidden="1"/>
    <cellStyle name="Hyperlink" xfId="3200" builtinId="8" hidden="1"/>
    <cellStyle name="Hyperlink" xfId="3202" builtinId="8" hidden="1"/>
    <cellStyle name="Hyperlink" xfId="3204" builtinId="8" hidden="1"/>
    <cellStyle name="Hyperlink" xfId="3206" builtinId="8" hidden="1"/>
    <cellStyle name="Hyperlink" xfId="3208" builtinId="8" hidden="1"/>
    <cellStyle name="Hyperlink" xfId="3210" builtinId="8" hidden="1"/>
    <cellStyle name="Hyperlink" xfId="3212" builtinId="8" hidden="1"/>
    <cellStyle name="Hyperlink" xfId="3214" builtinId="8" hidden="1"/>
    <cellStyle name="Hyperlink" xfId="3216" builtinId="8" hidden="1"/>
    <cellStyle name="Hyperlink" xfId="3218" builtinId="8" hidden="1"/>
    <cellStyle name="Hyperlink" xfId="3220" builtinId="8" hidden="1"/>
    <cellStyle name="Hyperlink" xfId="3222" builtinId="8" hidden="1"/>
    <cellStyle name="Hyperlink" xfId="3224" builtinId="8" hidden="1"/>
    <cellStyle name="Hyperlink" xfId="3226" builtinId="8" hidden="1"/>
    <cellStyle name="Hyperlink" xfId="3228" builtinId="8" hidden="1"/>
    <cellStyle name="Hyperlink" xfId="3230" builtinId="8" hidden="1"/>
    <cellStyle name="Hyperlink" xfId="3232" builtinId="8" hidden="1"/>
    <cellStyle name="Hyperlink" xfId="3234" builtinId="8" hidden="1"/>
    <cellStyle name="Hyperlink" xfId="3236" builtinId="8" hidden="1"/>
    <cellStyle name="Hyperlink" xfId="3238" builtinId="8" hidden="1"/>
    <cellStyle name="Hyperlink" xfId="3240" builtinId="8" hidden="1"/>
    <cellStyle name="Hyperlink" xfId="3242" builtinId="8" hidden="1"/>
    <cellStyle name="Hyperlink" xfId="3244" builtinId="8" hidden="1"/>
    <cellStyle name="Hyperlink" xfId="3246" builtinId="8" hidden="1"/>
    <cellStyle name="Hyperlink" xfId="3248" builtinId="8" hidden="1"/>
    <cellStyle name="Hyperlink" xfId="3250" builtinId="8" hidden="1"/>
    <cellStyle name="Hyperlink" xfId="3252" builtinId="8" hidden="1"/>
    <cellStyle name="Hyperlink" xfId="3254" builtinId="8" hidden="1"/>
    <cellStyle name="Hyperlink" xfId="3256" builtinId="8" hidden="1"/>
    <cellStyle name="Hyperlink" xfId="3258" builtinId="8" hidden="1"/>
    <cellStyle name="Hyperlink" xfId="3260" builtinId="8" hidden="1"/>
    <cellStyle name="Hyperlink" xfId="3262" builtinId="8" hidden="1"/>
    <cellStyle name="Hyperlink" xfId="3264" builtinId="8" hidden="1"/>
    <cellStyle name="Hyperlink" xfId="3266" builtinId="8" hidden="1"/>
    <cellStyle name="Hyperlink" xfId="3268" builtinId="8" hidden="1"/>
    <cellStyle name="Hyperlink" xfId="3270" builtinId="8" hidden="1"/>
    <cellStyle name="Hyperlink" xfId="3272" builtinId="8" hidden="1"/>
    <cellStyle name="Hyperlink" xfId="3274" builtinId="8" hidden="1"/>
    <cellStyle name="Hyperlink" xfId="3276" builtinId="8" hidden="1"/>
    <cellStyle name="Hyperlink" xfId="3278" builtinId="8" hidden="1"/>
    <cellStyle name="Hyperlink" xfId="3280" builtinId="8" hidden="1"/>
    <cellStyle name="Hyperlink" xfId="3282" builtinId="8" hidden="1"/>
    <cellStyle name="Hyperlink" xfId="3284" builtinId="8" hidden="1"/>
    <cellStyle name="Hyperlink" xfId="3286" builtinId="8" hidden="1"/>
    <cellStyle name="Hyperlink" xfId="3288" builtinId="8" hidden="1"/>
    <cellStyle name="Hyperlink" xfId="3290" builtinId="8" hidden="1"/>
    <cellStyle name="Hyperlink" xfId="3292" builtinId="8" hidden="1"/>
    <cellStyle name="Hyperlink" xfId="3294" builtinId="8" hidden="1"/>
    <cellStyle name="Hyperlink" xfId="3296" builtinId="8" hidden="1"/>
    <cellStyle name="Hyperlink" xfId="3298" builtinId="8" hidden="1"/>
    <cellStyle name="Hyperlink" xfId="3300" builtinId="8" hidden="1"/>
    <cellStyle name="Hyperlink" xfId="3302" builtinId="8" hidden="1"/>
    <cellStyle name="Hyperlink" xfId="3304" builtinId="8" hidden="1"/>
    <cellStyle name="Hyperlink" xfId="3306" builtinId="8" hidden="1"/>
    <cellStyle name="Hyperlink" xfId="3308" builtinId="8" hidden="1"/>
    <cellStyle name="Hyperlink" xfId="3310" builtinId="8" hidden="1"/>
    <cellStyle name="Hyperlink" xfId="3312" builtinId="8" hidden="1"/>
    <cellStyle name="Hyperlink" xfId="3314" builtinId="8" hidden="1"/>
    <cellStyle name="Hyperlink" xfId="3316" builtinId="8" hidden="1"/>
    <cellStyle name="Hyperlink" xfId="3318" builtinId="8" hidden="1"/>
    <cellStyle name="Hyperlink" xfId="3320" builtinId="8" hidden="1"/>
    <cellStyle name="Hyperlink" xfId="3322" builtinId="8" hidden="1"/>
    <cellStyle name="Hyperlink" xfId="3324" builtinId="8" hidden="1"/>
    <cellStyle name="Hyperlink" xfId="3326" builtinId="8" hidden="1"/>
    <cellStyle name="Hyperlink" xfId="3328" builtinId="8" hidden="1"/>
    <cellStyle name="Hyperlink" xfId="3330" builtinId="8" hidden="1"/>
    <cellStyle name="Hyperlink" xfId="3332" builtinId="8" hidden="1"/>
    <cellStyle name="Hyperlink" xfId="3334" builtinId="8" hidden="1"/>
    <cellStyle name="Hyperlink" xfId="3336" builtinId="8" hidden="1"/>
    <cellStyle name="Hyperlink" xfId="3338" builtinId="8" hidden="1"/>
    <cellStyle name="Hyperlink" xfId="3340" builtinId="8" hidden="1"/>
    <cellStyle name="Hyperlink" xfId="3342" builtinId="8" hidden="1"/>
    <cellStyle name="Hyperlink" xfId="3344" builtinId="8" hidden="1"/>
    <cellStyle name="Hyperlink" xfId="3346" builtinId="8" hidden="1"/>
    <cellStyle name="Hyperlink" xfId="3348" builtinId="8" hidden="1"/>
    <cellStyle name="Hyperlink" xfId="3350" builtinId="8" hidden="1"/>
    <cellStyle name="Hyperlink" xfId="3352" builtinId="8" hidden="1"/>
    <cellStyle name="Hyperlink" xfId="3354" builtinId="8" hidden="1"/>
    <cellStyle name="Hyperlink" xfId="3356" builtinId="8" hidden="1"/>
    <cellStyle name="Hyperlink" xfId="3358" builtinId="8" hidden="1"/>
    <cellStyle name="Hyperlink" xfId="3360" builtinId="8" hidden="1"/>
    <cellStyle name="Hyperlink" xfId="3362" builtinId="8" hidden="1"/>
    <cellStyle name="Hyperlink" xfId="3364" builtinId="8" hidden="1"/>
    <cellStyle name="Hyperlink" xfId="3366" builtinId="8" hidden="1"/>
    <cellStyle name="Hyperlink" xfId="3368" builtinId="8" hidden="1"/>
    <cellStyle name="Hyperlink" xfId="3370" builtinId="8" hidden="1"/>
    <cellStyle name="Hyperlink" xfId="3372" builtinId="8" hidden="1"/>
    <cellStyle name="Hyperlink" xfId="3374" builtinId="8" hidden="1"/>
    <cellStyle name="Hyperlink" xfId="3376" builtinId="8" hidden="1"/>
    <cellStyle name="Hyperlink" xfId="3378" builtinId="8" hidden="1"/>
    <cellStyle name="Hyperlink" xfId="3380" builtinId="8" hidden="1"/>
    <cellStyle name="Hyperlink" xfId="3382" builtinId="8" hidden="1"/>
    <cellStyle name="Hyperlink" xfId="3384" builtinId="8" hidden="1"/>
    <cellStyle name="Hyperlink" xfId="3386" builtinId="8" hidden="1"/>
    <cellStyle name="Hyperlink" xfId="3388" builtinId="8" hidden="1"/>
    <cellStyle name="Hyperlink" xfId="3390" builtinId="8" hidden="1"/>
    <cellStyle name="Hyperlink" xfId="3392" builtinId="8" hidden="1"/>
    <cellStyle name="Hyperlink" xfId="3394" builtinId="8" hidden="1"/>
    <cellStyle name="Hyperlink" xfId="3396" builtinId="8" hidden="1"/>
    <cellStyle name="Hyperlink" xfId="3398" builtinId="8" hidden="1"/>
    <cellStyle name="Hyperlink" xfId="3400" builtinId="8" hidden="1"/>
    <cellStyle name="Hyperlink" xfId="3402" builtinId="8" hidden="1"/>
    <cellStyle name="Hyperlink" xfId="3404" builtinId="8" hidden="1"/>
    <cellStyle name="Hyperlink" xfId="3406" builtinId="8" hidden="1"/>
    <cellStyle name="Hyperlink" xfId="3408" builtinId="8" hidden="1"/>
    <cellStyle name="Hyperlink" xfId="3410" builtinId="8" hidden="1"/>
    <cellStyle name="Hyperlink" xfId="3412" builtinId="8" hidden="1"/>
    <cellStyle name="Hyperlink" xfId="3414" builtinId="8" hidden="1"/>
    <cellStyle name="Hyperlink" xfId="3416" builtinId="8" hidden="1"/>
    <cellStyle name="Hyperlink" xfId="3418" builtinId="8" hidden="1"/>
    <cellStyle name="Hyperlink" xfId="3420" builtinId="8" hidden="1"/>
    <cellStyle name="Hyperlink" xfId="3422" builtinId="8" hidden="1"/>
    <cellStyle name="Hyperlink" xfId="3424" builtinId="8" hidden="1"/>
    <cellStyle name="Hyperlink" xfId="3426" builtinId="8" hidden="1"/>
    <cellStyle name="Hyperlink" xfId="3428" builtinId="8" hidden="1"/>
    <cellStyle name="Hyperlink" xfId="3430" builtinId="8" hidden="1"/>
    <cellStyle name="Hyperlink" xfId="3432" builtinId="8" hidden="1"/>
    <cellStyle name="Hyperlink" xfId="3434" builtinId="8" hidden="1"/>
    <cellStyle name="Hyperlink" xfId="3436" builtinId="8" hidden="1"/>
    <cellStyle name="Hyperlink" xfId="3438" builtinId="8" hidden="1"/>
    <cellStyle name="Hyperlink" xfId="3440" builtinId="8" hidden="1"/>
    <cellStyle name="Hyperlink" xfId="3442" builtinId="8" hidden="1"/>
    <cellStyle name="Hyperlink" xfId="3444" builtinId="8" hidden="1"/>
    <cellStyle name="Hyperlink" xfId="3446" builtinId="8" hidden="1"/>
    <cellStyle name="Hyperlink" xfId="3448" builtinId="8" hidden="1"/>
    <cellStyle name="Hyperlink" xfId="3450" builtinId="8" hidden="1"/>
    <cellStyle name="Hyperlink" xfId="3452" builtinId="8" hidden="1"/>
    <cellStyle name="Hyperlink" xfId="3454" builtinId="8" hidden="1"/>
    <cellStyle name="Hyperlink" xfId="3456" builtinId="8" hidden="1"/>
    <cellStyle name="Hyperlink" xfId="3458" builtinId="8" hidden="1"/>
    <cellStyle name="Hyperlink" xfId="3460" builtinId="8" hidden="1"/>
    <cellStyle name="Hyperlink" xfId="3462" builtinId="8" hidden="1"/>
    <cellStyle name="Hyperlink" xfId="3464" builtinId="8" hidden="1"/>
    <cellStyle name="Hyperlink" xfId="3466" builtinId="8" hidden="1"/>
    <cellStyle name="Hyperlink" xfId="3468" builtinId="8" hidden="1"/>
    <cellStyle name="Hyperlink" xfId="3470" builtinId="8" hidden="1"/>
    <cellStyle name="Hyperlink" xfId="3472" builtinId="8" hidden="1"/>
    <cellStyle name="Hyperlink" xfId="3474" builtinId="8" hidden="1"/>
    <cellStyle name="Hyperlink" xfId="3476" builtinId="8" hidden="1"/>
    <cellStyle name="Hyperlink" xfId="3478" builtinId="8" hidden="1"/>
    <cellStyle name="Hyperlink" xfId="3480" builtinId="8" hidden="1"/>
    <cellStyle name="Hyperlink" xfId="3482" builtinId="8" hidden="1"/>
    <cellStyle name="Hyperlink" xfId="3484" builtinId="8" hidden="1"/>
    <cellStyle name="Hyperlink" xfId="3486" builtinId="8" hidden="1"/>
    <cellStyle name="Hyperlink" xfId="3488" builtinId="8" hidden="1"/>
    <cellStyle name="Hyperlink" xfId="3490" builtinId="8" hidden="1"/>
    <cellStyle name="Hyperlink" xfId="3492" builtinId="8" hidden="1"/>
    <cellStyle name="Hyperlink" xfId="3494" builtinId="8" hidden="1"/>
    <cellStyle name="Hyperlink" xfId="3496" builtinId="8" hidden="1"/>
    <cellStyle name="Hyperlink" xfId="3498" builtinId="8" hidden="1"/>
    <cellStyle name="Hyperlink" xfId="3500" builtinId="8" hidden="1"/>
    <cellStyle name="Hyperlink" xfId="3502" builtinId="8" hidden="1"/>
    <cellStyle name="Hyperlink" xfId="3504" builtinId="8" hidden="1"/>
    <cellStyle name="Hyperlink" xfId="3506" builtinId="8" hidden="1"/>
    <cellStyle name="Hyperlink" xfId="3508" builtinId="8" hidden="1"/>
    <cellStyle name="Hyperlink" xfId="3510" builtinId="8" hidden="1"/>
    <cellStyle name="Hyperlink" xfId="3512" builtinId="8" hidden="1"/>
    <cellStyle name="Hyperlink" xfId="3514" builtinId="8" hidden="1"/>
    <cellStyle name="Hyperlink" xfId="3516" builtinId="8" hidden="1"/>
    <cellStyle name="Hyperlink" xfId="3518" builtinId="8" hidden="1"/>
    <cellStyle name="Hyperlink" xfId="3520" builtinId="8" hidden="1"/>
    <cellStyle name="Hyperlink" xfId="3522" builtinId="8" hidden="1"/>
    <cellStyle name="Hyperlink" xfId="3524" builtinId="8" hidden="1"/>
    <cellStyle name="Hyperlink" xfId="3526" builtinId="8" hidden="1"/>
    <cellStyle name="Hyperlink" xfId="3528" builtinId="8" hidden="1"/>
    <cellStyle name="Hyperlink" xfId="3530" builtinId="8" hidden="1"/>
    <cellStyle name="Hyperlink" xfId="3532" builtinId="8" hidden="1"/>
    <cellStyle name="Hyperlink" xfId="3534" builtinId="8" hidden="1"/>
    <cellStyle name="Hyperlink" xfId="3536" builtinId="8" hidden="1"/>
    <cellStyle name="Hyperlink" xfId="3538" builtinId="8" hidden="1"/>
    <cellStyle name="Hyperlink" xfId="3540" builtinId="8" hidden="1"/>
    <cellStyle name="Hyperlink" xfId="3542" builtinId="8" hidden="1"/>
    <cellStyle name="Hyperlink" xfId="3544" builtinId="8" hidden="1"/>
    <cellStyle name="Hyperlink" xfId="3546" builtinId="8" hidden="1"/>
    <cellStyle name="Hyperlink" xfId="3548" builtinId="8" hidden="1"/>
    <cellStyle name="Hyperlink" xfId="3550" builtinId="8" hidden="1"/>
    <cellStyle name="Hyperlink" xfId="3552" builtinId="8" hidden="1"/>
    <cellStyle name="Hyperlink" xfId="3554" builtinId="8" hidden="1"/>
    <cellStyle name="Hyperlink" xfId="3556" builtinId="8" hidden="1"/>
    <cellStyle name="Hyperlink" xfId="3558" builtinId="8" hidden="1"/>
    <cellStyle name="Hyperlink" xfId="3560" builtinId="8" hidden="1"/>
    <cellStyle name="Hyperlink" xfId="3562" builtinId="8" hidden="1"/>
    <cellStyle name="Hyperlink" xfId="3564" builtinId="8" hidden="1"/>
    <cellStyle name="Hyperlink" xfId="3566" builtinId="8" hidden="1"/>
    <cellStyle name="Hyperlink" xfId="3568" builtinId="8" hidden="1"/>
    <cellStyle name="Hyperlink" xfId="3570" builtinId="8" hidden="1"/>
    <cellStyle name="Hyperlink" xfId="3572" builtinId="8" hidden="1"/>
    <cellStyle name="Hyperlink" xfId="3574" builtinId="8" hidden="1"/>
    <cellStyle name="Hyperlink" xfId="3576" builtinId="8" hidden="1"/>
    <cellStyle name="Hyperlink" xfId="3578" builtinId="8" hidden="1"/>
    <cellStyle name="Hyperlink" xfId="3580" builtinId="8" hidden="1"/>
    <cellStyle name="Hyperlink" xfId="3582" builtinId="8" hidden="1"/>
    <cellStyle name="Hyperlink" xfId="3584" builtinId="8" hidden="1"/>
    <cellStyle name="Hyperlink" xfId="3586" builtinId="8" hidden="1"/>
    <cellStyle name="Hyperlink" xfId="3588" builtinId="8" hidden="1"/>
    <cellStyle name="Hyperlink" xfId="3590" builtinId="8" hidden="1"/>
    <cellStyle name="Hyperlink" xfId="3592" builtinId="8" hidden="1"/>
    <cellStyle name="Hyperlink" xfId="3594" builtinId="8" hidden="1"/>
    <cellStyle name="Hyperlink" xfId="3596" builtinId="8" hidden="1"/>
    <cellStyle name="Hyperlink" xfId="3598" builtinId="8" hidden="1"/>
    <cellStyle name="Hyperlink" xfId="3600" builtinId="8" hidden="1"/>
    <cellStyle name="Hyperlink" xfId="3602" builtinId="8" hidden="1"/>
    <cellStyle name="Hyperlink" xfId="3604" builtinId="8" hidden="1"/>
    <cellStyle name="Hyperlink" xfId="3606" builtinId="8" hidden="1"/>
    <cellStyle name="Hyperlink" xfId="3608" builtinId="8" hidden="1"/>
    <cellStyle name="Hyperlink" xfId="3610" builtinId="8" hidden="1"/>
    <cellStyle name="Hyperlink" xfId="3612" builtinId="8" hidden="1"/>
    <cellStyle name="Hyperlink" xfId="3614" builtinId="8" hidden="1"/>
    <cellStyle name="Hyperlink" xfId="3616" builtinId="8" hidden="1"/>
    <cellStyle name="Hyperlink" xfId="3618" builtinId="8" hidden="1"/>
    <cellStyle name="Hyperlink" xfId="3620" builtinId="8" hidden="1"/>
    <cellStyle name="Hyperlink" xfId="3622" builtinId="8" hidden="1"/>
    <cellStyle name="Hyperlink" xfId="3624" builtinId="8" hidden="1"/>
    <cellStyle name="Hyperlink" xfId="3626" builtinId="8" hidden="1"/>
    <cellStyle name="Hyperlink" xfId="3628" builtinId="8" hidden="1"/>
    <cellStyle name="Hyperlink" xfId="3630" builtinId="8" hidden="1"/>
    <cellStyle name="Hyperlink" xfId="3632" builtinId="8" hidden="1"/>
    <cellStyle name="Hyperlink" xfId="3634" builtinId="8" hidden="1"/>
    <cellStyle name="Hyperlink" xfId="3636" builtinId="8" hidden="1"/>
    <cellStyle name="Hyperlink" xfId="3638" builtinId="8" hidden="1"/>
    <cellStyle name="Hyperlink" xfId="3640" builtinId="8" hidden="1"/>
    <cellStyle name="Hyperlink" xfId="3642" builtinId="8" hidden="1"/>
    <cellStyle name="Hyperlink" xfId="3644" builtinId="8" hidden="1"/>
    <cellStyle name="Hyperlink" xfId="3646" builtinId="8" hidden="1"/>
    <cellStyle name="Hyperlink" xfId="3648" builtinId="8" hidden="1"/>
    <cellStyle name="Hyperlink" xfId="3650" builtinId="8" hidden="1"/>
    <cellStyle name="Hyperlink" xfId="3652" builtinId="8" hidden="1"/>
    <cellStyle name="Hyperlink" xfId="3654" builtinId="8" hidden="1"/>
    <cellStyle name="Hyperlink" xfId="3656" builtinId="8" hidden="1"/>
    <cellStyle name="Hyperlink" xfId="3658" builtinId="8" hidden="1"/>
    <cellStyle name="Hyperlink" xfId="3660" builtinId="8" hidden="1"/>
    <cellStyle name="Hyperlink" xfId="3662" builtinId="8" hidden="1"/>
    <cellStyle name="Hyperlink" xfId="3664" builtinId="8" hidden="1"/>
    <cellStyle name="Hyperlink" xfId="3666" builtinId="8" hidden="1"/>
    <cellStyle name="Hyperlink" xfId="3668" builtinId="8" hidden="1"/>
    <cellStyle name="Hyperlink" xfId="3670" builtinId="8" hidden="1"/>
    <cellStyle name="Hyperlink" xfId="3672" builtinId="8" hidden="1"/>
    <cellStyle name="Hyperlink" xfId="3674" builtinId="8" hidden="1"/>
    <cellStyle name="Hyperlink" xfId="3676" builtinId="8" hidden="1"/>
    <cellStyle name="Hyperlink" xfId="3678" builtinId="8" hidden="1"/>
    <cellStyle name="Hyperlink" xfId="3680" builtinId="8" hidden="1"/>
    <cellStyle name="Hyperlink" xfId="3682" builtinId="8" hidden="1"/>
    <cellStyle name="Hyperlink" xfId="3684" builtinId="8" hidden="1"/>
    <cellStyle name="Hyperlink" xfId="3686" builtinId="8" hidden="1"/>
    <cellStyle name="Hyperlink" xfId="3688" builtinId="8" hidden="1"/>
    <cellStyle name="Hyperlink" xfId="3690" builtinId="8" hidden="1"/>
    <cellStyle name="Hyperlink" xfId="3692" builtinId="8" hidden="1"/>
    <cellStyle name="Hyperlink" xfId="3694" builtinId="8" hidden="1"/>
    <cellStyle name="Hyperlink" xfId="3696" builtinId="8" hidden="1"/>
    <cellStyle name="Hyperlink" xfId="3698" builtinId="8" hidden="1"/>
    <cellStyle name="Hyperlink" xfId="3700" builtinId="8" hidden="1"/>
    <cellStyle name="Hyperlink" xfId="3702" builtinId="8" hidden="1"/>
    <cellStyle name="Hyperlink" xfId="3704" builtinId="8" hidden="1"/>
    <cellStyle name="Hyperlink" xfId="3706" builtinId="8" hidden="1"/>
    <cellStyle name="Hyperlink" xfId="3708" builtinId="8" hidden="1"/>
    <cellStyle name="Hyperlink" xfId="3710" builtinId="8" hidden="1"/>
    <cellStyle name="Hyperlink" xfId="3712" builtinId="8" hidden="1"/>
    <cellStyle name="Hyperlink" xfId="3714" builtinId="8" hidden="1"/>
    <cellStyle name="Hyperlink" xfId="3716" builtinId="8" hidden="1"/>
    <cellStyle name="Hyperlink" xfId="3718" builtinId="8" hidden="1"/>
    <cellStyle name="Hyperlink" xfId="3720" builtinId="8" hidden="1"/>
    <cellStyle name="Hyperlink" xfId="3722" builtinId="8" hidden="1"/>
    <cellStyle name="Hyperlink" xfId="3724" builtinId="8" hidden="1"/>
    <cellStyle name="Hyperlink" xfId="3726" builtinId="8" hidden="1"/>
    <cellStyle name="Hyperlink" xfId="3728" builtinId="8" hidden="1"/>
    <cellStyle name="Hyperlink" xfId="3730" builtinId="8" hidden="1"/>
    <cellStyle name="Hyperlink" xfId="3732" builtinId="8" hidden="1"/>
    <cellStyle name="Hyperlink" xfId="3734" builtinId="8" hidden="1"/>
    <cellStyle name="Hyperlink" xfId="3736" builtinId="8" hidden="1"/>
    <cellStyle name="Hyperlink" xfId="3738" builtinId="8" hidden="1"/>
    <cellStyle name="Hyperlink" xfId="3740" builtinId="8" hidden="1"/>
    <cellStyle name="Hyperlink" xfId="3742" builtinId="8" hidden="1"/>
    <cellStyle name="Hyperlink" xfId="3744" builtinId="8" hidden="1"/>
    <cellStyle name="Hyperlink" xfId="3746" builtinId="8" hidden="1"/>
    <cellStyle name="Hyperlink" xfId="3748" builtinId="8" hidden="1"/>
    <cellStyle name="Hyperlink" xfId="3750" builtinId="8" hidden="1"/>
    <cellStyle name="Hyperlink" xfId="3752" builtinId="8" hidden="1"/>
    <cellStyle name="Hyperlink" xfId="3754" builtinId="8" hidden="1"/>
    <cellStyle name="Hyperlink" xfId="3756" builtinId="8" hidden="1"/>
    <cellStyle name="Hyperlink" xfId="3758" builtinId="8" hidden="1"/>
    <cellStyle name="Hyperlink" xfId="3760" builtinId="8" hidden="1"/>
    <cellStyle name="Hyperlink" xfId="3762" builtinId="8" hidden="1"/>
    <cellStyle name="Hyperlink" xfId="3764" builtinId="8" hidden="1"/>
    <cellStyle name="Hyperlink" xfId="3766" builtinId="8" hidden="1"/>
    <cellStyle name="Hyperlink" xfId="3768" builtinId="8" hidden="1"/>
    <cellStyle name="Hyperlink" xfId="3770" builtinId="8" hidden="1"/>
    <cellStyle name="Hyperlink" xfId="3772" builtinId="8" hidden="1"/>
    <cellStyle name="Hyperlink" xfId="3774" builtinId="8" hidden="1"/>
    <cellStyle name="Hyperlink" xfId="3776" builtinId="8" hidden="1"/>
    <cellStyle name="Hyperlink" xfId="3778" builtinId="8" hidden="1"/>
    <cellStyle name="Hyperlink" xfId="3780" builtinId="8" hidden="1"/>
    <cellStyle name="Hyperlink" xfId="3782" builtinId="8" hidden="1"/>
    <cellStyle name="Hyperlink" xfId="3784" builtinId="8" hidden="1"/>
    <cellStyle name="Hyperlink" xfId="3786" builtinId="8" hidden="1"/>
    <cellStyle name="Hyperlink" xfId="3788" builtinId="8" hidden="1"/>
    <cellStyle name="Hyperlink" xfId="3790" builtinId="8" hidden="1"/>
    <cellStyle name="Hyperlink" xfId="3792" builtinId="8" hidden="1"/>
    <cellStyle name="Hyperlink" xfId="3794" builtinId="8" hidden="1"/>
    <cellStyle name="Hyperlink" xfId="3796" builtinId="8" hidden="1"/>
    <cellStyle name="Hyperlink" xfId="3798" builtinId="8" hidden="1"/>
    <cellStyle name="Hyperlink" xfId="3800" builtinId="8" hidden="1"/>
    <cellStyle name="Hyperlink" xfId="3802" builtinId="8" hidden="1"/>
    <cellStyle name="Hyperlink" xfId="3804" builtinId="8" hidden="1"/>
    <cellStyle name="Hyperlink" xfId="3806" builtinId="8" hidden="1"/>
    <cellStyle name="Hyperlink" xfId="3808" builtinId="8" hidden="1"/>
    <cellStyle name="Hyperlink" xfId="3810" builtinId="8" hidden="1"/>
    <cellStyle name="Hyperlink" xfId="3812" builtinId="8" hidden="1"/>
    <cellStyle name="Hyperlink" xfId="3814" builtinId="8" hidden="1"/>
    <cellStyle name="Hyperlink" xfId="3816" builtinId="8" hidden="1"/>
    <cellStyle name="Hyperlink" xfId="3818" builtinId="8" hidden="1"/>
    <cellStyle name="Hyperlink" xfId="3820" builtinId="8" hidden="1"/>
    <cellStyle name="Hyperlink" xfId="3822" builtinId="8" hidden="1"/>
    <cellStyle name="Hyperlink" xfId="3824" builtinId="8" hidden="1"/>
    <cellStyle name="Hyperlink" xfId="3826" builtinId="8" hidden="1"/>
    <cellStyle name="Hyperlink" xfId="3828" builtinId="8" hidden="1"/>
    <cellStyle name="Hyperlink" xfId="3830" builtinId="8" hidden="1"/>
    <cellStyle name="Hyperlink" xfId="3832" builtinId="8" hidden="1"/>
    <cellStyle name="Hyperlink" xfId="3834" builtinId="8" hidden="1"/>
    <cellStyle name="Hyperlink" xfId="3836" builtinId="8" hidden="1"/>
    <cellStyle name="Hyperlink" xfId="3838" builtinId="8" hidden="1"/>
    <cellStyle name="Hyperlink" xfId="3840" builtinId="8" hidden="1"/>
    <cellStyle name="Hyperlink" xfId="3842" builtinId="8" hidden="1"/>
    <cellStyle name="Hyperlink" xfId="3844" builtinId="8" hidden="1"/>
    <cellStyle name="Hyperlink" xfId="3846" builtinId="8" hidden="1"/>
    <cellStyle name="Hyperlink" xfId="3848" builtinId="8" hidden="1"/>
    <cellStyle name="Hyperlink" xfId="3850" builtinId="8" hidden="1"/>
    <cellStyle name="Hyperlink" xfId="3852" builtinId="8" hidden="1"/>
    <cellStyle name="Hyperlink" xfId="3854" builtinId="8" hidden="1"/>
    <cellStyle name="Hyperlink" xfId="3856" builtinId="8" hidden="1"/>
    <cellStyle name="Hyperlink" xfId="3858" builtinId="8" hidden="1"/>
    <cellStyle name="Hyperlink" xfId="3860" builtinId="8" hidden="1"/>
    <cellStyle name="Hyperlink" xfId="3862" builtinId="8" hidden="1"/>
    <cellStyle name="Hyperlink" xfId="3864" builtinId="8" hidden="1"/>
    <cellStyle name="Hyperlink" xfId="3866" builtinId="8" hidden="1"/>
    <cellStyle name="Hyperlink" xfId="3868" builtinId="8" hidden="1"/>
    <cellStyle name="Hyperlink" xfId="3870" builtinId="8" hidden="1"/>
    <cellStyle name="Hyperlink" xfId="3872" builtinId="8" hidden="1"/>
    <cellStyle name="Hyperlink" xfId="3874" builtinId="8" hidden="1"/>
    <cellStyle name="Hyperlink" xfId="3876" builtinId="8" hidden="1"/>
    <cellStyle name="Hyperlink" xfId="3878" builtinId="8" hidden="1"/>
    <cellStyle name="Hyperlink" xfId="3880" builtinId="8" hidden="1"/>
    <cellStyle name="Hyperlink" xfId="3882" builtinId="8" hidden="1"/>
    <cellStyle name="Hyperlink" xfId="3884" builtinId="8" hidden="1"/>
    <cellStyle name="Hyperlink" xfId="3886" builtinId="8" hidden="1"/>
    <cellStyle name="Hyperlink" xfId="3888" builtinId="8" hidden="1"/>
    <cellStyle name="Hyperlink" xfId="3890" builtinId="8" hidden="1"/>
    <cellStyle name="Hyperlink" xfId="3892" builtinId="8" hidden="1"/>
    <cellStyle name="Hyperlink" xfId="3894" builtinId="8" hidden="1"/>
    <cellStyle name="Hyperlink" xfId="3896" builtinId="8" hidden="1"/>
    <cellStyle name="Hyperlink" xfId="3898" builtinId="8" hidden="1"/>
    <cellStyle name="Hyperlink" xfId="3900" builtinId="8" hidden="1"/>
    <cellStyle name="Hyperlink" xfId="3902" builtinId="8" hidden="1"/>
    <cellStyle name="Hyperlink" xfId="3904" builtinId="8" hidden="1"/>
    <cellStyle name="Hyperlink" xfId="3906" builtinId="8" hidden="1"/>
    <cellStyle name="Hyperlink" xfId="3908" builtinId="8" hidden="1"/>
    <cellStyle name="Hyperlink" xfId="3910" builtinId="8" hidden="1"/>
    <cellStyle name="Hyperlink" xfId="3912" builtinId="8" hidden="1"/>
    <cellStyle name="Hyperlink" xfId="3914" builtinId="8" hidden="1"/>
    <cellStyle name="Hyperlink" xfId="3916" builtinId="8" hidden="1"/>
    <cellStyle name="Hyperlink" xfId="3918" builtinId="8" hidden="1"/>
    <cellStyle name="Hyperlink" xfId="3920" builtinId="8" hidden="1"/>
    <cellStyle name="Hyperlink" xfId="3922" builtinId="8" hidden="1"/>
    <cellStyle name="Hyperlink" xfId="3924" builtinId="8" hidden="1"/>
    <cellStyle name="Hyperlink" xfId="3926" builtinId="8" hidden="1"/>
    <cellStyle name="Hyperlink" xfId="3928" builtinId="8" hidden="1"/>
    <cellStyle name="Hyperlink" xfId="3930" builtinId="8" hidden="1"/>
    <cellStyle name="Hyperlink" xfId="3932" builtinId="8" hidden="1"/>
    <cellStyle name="Hyperlink" xfId="3934" builtinId="8" hidden="1"/>
    <cellStyle name="Hyperlink" xfId="3936" builtinId="8" hidden="1"/>
    <cellStyle name="Hyperlink" xfId="3938" builtinId="8" hidden="1"/>
    <cellStyle name="Hyperlink" xfId="3940" builtinId="8" hidden="1"/>
    <cellStyle name="Hyperlink" xfId="3942" builtinId="8" hidden="1"/>
    <cellStyle name="Hyperlink" xfId="3944" builtinId="8" hidden="1"/>
    <cellStyle name="Hyperlink" xfId="3946" builtinId="8" hidden="1"/>
    <cellStyle name="Hyperlink" xfId="3948" builtinId="8" hidden="1"/>
    <cellStyle name="Hyperlink" xfId="3950" builtinId="8" hidden="1"/>
    <cellStyle name="Hyperlink" xfId="3952" builtinId="8" hidden="1"/>
    <cellStyle name="Hyperlink" xfId="3954" builtinId="8" hidden="1"/>
    <cellStyle name="Hyperlink" xfId="3956" builtinId="8" hidden="1"/>
    <cellStyle name="Hyperlink" xfId="3958" builtinId="8" hidden="1"/>
    <cellStyle name="Hyperlink" xfId="3960" builtinId="8" hidden="1"/>
    <cellStyle name="Hyperlink" xfId="3962" builtinId="8" hidden="1"/>
    <cellStyle name="Hyperlink" xfId="3964" builtinId="8" hidden="1"/>
    <cellStyle name="Hyperlink" xfId="3966" builtinId="8" hidden="1"/>
    <cellStyle name="Hyperlink" xfId="3968" builtinId="8" hidden="1"/>
    <cellStyle name="Hyperlink" xfId="3970" builtinId="8" hidden="1"/>
    <cellStyle name="Hyperlink" xfId="3972" builtinId="8" hidden="1"/>
    <cellStyle name="Hyperlink" xfId="3974" builtinId="8" hidden="1"/>
    <cellStyle name="Hyperlink" xfId="3976" builtinId="8" hidden="1"/>
    <cellStyle name="Hyperlink" xfId="3978" builtinId="8" hidden="1"/>
    <cellStyle name="Hyperlink" xfId="3980" builtinId="8" hidden="1"/>
    <cellStyle name="Hyperlink" xfId="3982" builtinId="8" hidden="1"/>
    <cellStyle name="Hyperlink" xfId="3984" builtinId="8" hidden="1"/>
    <cellStyle name="Hyperlink" xfId="3986" builtinId="8" hidden="1"/>
    <cellStyle name="Hyperlink" xfId="3988" builtinId="8" hidden="1"/>
    <cellStyle name="Hyperlink" xfId="3990" builtinId="8" hidden="1"/>
    <cellStyle name="Hyperlink" xfId="3992" builtinId="8" hidden="1"/>
    <cellStyle name="Hyperlink" xfId="3994" builtinId="8" hidden="1"/>
    <cellStyle name="Hyperlink" xfId="3996" builtinId="8" hidden="1"/>
    <cellStyle name="Hyperlink" xfId="3998" builtinId="8" hidden="1"/>
    <cellStyle name="Hyperlink" xfId="4000" builtinId="8" hidden="1"/>
    <cellStyle name="Hyperlink" xfId="4002" builtinId="8" hidden="1"/>
    <cellStyle name="Hyperlink" xfId="4004" builtinId="8" hidden="1"/>
    <cellStyle name="Hyperlink" xfId="4006" builtinId="8" hidden="1"/>
    <cellStyle name="Hyperlink" xfId="4008" builtinId="8" hidden="1"/>
    <cellStyle name="Hyperlink" xfId="4010" builtinId="8" hidden="1"/>
    <cellStyle name="Hyperlink" xfId="4012" builtinId="8" hidden="1"/>
    <cellStyle name="Hyperlink" xfId="4014" builtinId="8" hidden="1"/>
    <cellStyle name="Hyperlink" xfId="4016" builtinId="8" hidden="1"/>
    <cellStyle name="Hyperlink" xfId="4018" builtinId="8" hidden="1"/>
    <cellStyle name="Hyperlink" xfId="4020" builtinId="8" hidden="1"/>
    <cellStyle name="Hyperlink" xfId="4022" builtinId="8" hidden="1"/>
    <cellStyle name="Hyperlink" xfId="4024" builtinId="8" hidden="1"/>
    <cellStyle name="Hyperlink" xfId="4026" builtinId="8" hidden="1"/>
    <cellStyle name="Hyperlink" xfId="4028" builtinId="8" hidden="1"/>
    <cellStyle name="Hyperlink" xfId="4030" builtinId="8" hidden="1"/>
    <cellStyle name="Hyperlink" xfId="4032" builtinId="8" hidden="1"/>
    <cellStyle name="Hyperlink" xfId="4034" builtinId="8" hidden="1"/>
    <cellStyle name="Hyperlink" xfId="4036" builtinId="8" hidden="1"/>
    <cellStyle name="Hyperlink" xfId="4038" builtinId="8" hidden="1"/>
    <cellStyle name="Hyperlink" xfId="4040" builtinId="8" hidden="1"/>
    <cellStyle name="Hyperlink" xfId="4042" builtinId="8" hidden="1"/>
    <cellStyle name="Hyperlink" xfId="4044" builtinId="8" hidden="1"/>
    <cellStyle name="Hyperlink" xfId="4046" builtinId="8" hidden="1"/>
    <cellStyle name="Hyperlink" xfId="4048" builtinId="8" hidden="1"/>
    <cellStyle name="Hyperlink" xfId="4050" builtinId="8" hidden="1"/>
    <cellStyle name="Hyperlink" xfId="4052" builtinId="8" hidden="1"/>
    <cellStyle name="Hyperlink" xfId="4054" builtinId="8" hidden="1"/>
    <cellStyle name="Hyperlink" xfId="4056" builtinId="8" hidden="1"/>
    <cellStyle name="Hyperlink" xfId="4058" builtinId="8" hidden="1"/>
    <cellStyle name="Hyperlink" xfId="4060" builtinId="8" hidden="1"/>
    <cellStyle name="Hyperlink" xfId="4062" builtinId="8" hidden="1"/>
    <cellStyle name="Hyperlink" xfId="4064" builtinId="8" hidden="1"/>
    <cellStyle name="Hyperlink" xfId="4066" builtinId="8" hidden="1"/>
    <cellStyle name="Hyperlink" xfId="4068" builtinId="8" hidden="1"/>
    <cellStyle name="Hyperlink" xfId="4070" builtinId="8" hidden="1"/>
    <cellStyle name="Hyperlink" xfId="4072" builtinId="8" hidden="1"/>
    <cellStyle name="Hyperlink" xfId="4074" builtinId="8" hidden="1"/>
    <cellStyle name="Hyperlink" xfId="4076" builtinId="8" hidden="1"/>
    <cellStyle name="Hyperlink" xfId="4078" builtinId="8" hidden="1"/>
    <cellStyle name="Hyperlink" xfId="4080" builtinId="8" hidden="1"/>
    <cellStyle name="Hyperlink" xfId="4082" builtinId="8" hidden="1"/>
    <cellStyle name="Hyperlink" xfId="4084" builtinId="8" hidden="1"/>
    <cellStyle name="Hyperlink" xfId="4086" builtinId="8" hidden="1"/>
    <cellStyle name="Hyperlink" xfId="4088" builtinId="8" hidden="1"/>
    <cellStyle name="Hyperlink" xfId="4090" builtinId="8" hidden="1"/>
    <cellStyle name="Hyperlink" xfId="4092" builtinId="8" hidden="1"/>
    <cellStyle name="Hyperlink" xfId="4094" builtinId="8" hidden="1"/>
    <cellStyle name="Hyperlink" xfId="4096" builtinId="8" hidden="1"/>
    <cellStyle name="Hyperlink" xfId="4098" builtinId="8" hidden="1"/>
    <cellStyle name="Hyperlink" xfId="4100" builtinId="8" hidden="1"/>
    <cellStyle name="Hyperlink" xfId="4102" builtinId="8" hidden="1"/>
    <cellStyle name="Hyperlink" xfId="4104" builtinId="8" hidden="1"/>
    <cellStyle name="Hyperlink" xfId="4106" builtinId="8" hidden="1"/>
    <cellStyle name="Hyperlink" xfId="4108" builtinId="8" hidden="1"/>
    <cellStyle name="Hyperlink" xfId="4110" builtinId="8" hidden="1"/>
    <cellStyle name="Hyperlink" xfId="4112" builtinId="8" hidden="1"/>
    <cellStyle name="Hyperlink" xfId="4114" builtinId="8" hidden="1"/>
    <cellStyle name="Hyperlink" xfId="4116" builtinId="8" hidden="1"/>
    <cellStyle name="Hyperlink" xfId="4118" builtinId="8" hidden="1"/>
    <cellStyle name="Hyperlink" xfId="4120" builtinId="8" hidden="1"/>
    <cellStyle name="Hyperlink" xfId="4122" builtinId="8" hidden="1"/>
    <cellStyle name="Hyperlink" xfId="4124" builtinId="8" hidden="1"/>
    <cellStyle name="Hyperlink" xfId="4126" builtinId="8" hidden="1"/>
    <cellStyle name="Hyperlink" xfId="4128" builtinId="8" hidden="1"/>
    <cellStyle name="Hyperlink" xfId="4130" builtinId="8" hidden="1"/>
    <cellStyle name="Hyperlink" xfId="4132" builtinId="8" hidden="1"/>
    <cellStyle name="Hyperlink" xfId="4134" builtinId="8" hidden="1"/>
    <cellStyle name="Hyperlink" xfId="4136" builtinId="8" hidden="1"/>
    <cellStyle name="Hyperlink" xfId="4138" builtinId="8" hidden="1"/>
    <cellStyle name="Hyperlink" xfId="4140" builtinId="8" hidden="1"/>
    <cellStyle name="Hyperlink" xfId="4142" builtinId="8" hidden="1"/>
    <cellStyle name="Hyperlink" xfId="4144" builtinId="8" hidden="1"/>
    <cellStyle name="Hyperlink" xfId="4146" builtinId="8" hidden="1"/>
    <cellStyle name="Hyperlink" xfId="4148" builtinId="8" hidden="1"/>
    <cellStyle name="Hyperlink" xfId="4150" builtinId="8" hidden="1"/>
    <cellStyle name="Hyperlink" xfId="4152" builtinId="8" hidden="1"/>
    <cellStyle name="Hyperlink" xfId="4154" builtinId="8" hidden="1"/>
    <cellStyle name="Hyperlink" xfId="4156" builtinId="8" hidden="1"/>
    <cellStyle name="Hyperlink" xfId="4158" builtinId="8" hidden="1"/>
    <cellStyle name="Hyperlink" xfId="4160" builtinId="8" hidden="1"/>
    <cellStyle name="Hyperlink" xfId="4162" builtinId="8" hidden="1"/>
    <cellStyle name="Hyperlink" xfId="4164" builtinId="8" hidden="1"/>
    <cellStyle name="Hyperlink" xfId="4166" builtinId="8" hidden="1"/>
    <cellStyle name="Hyperlink" xfId="4168" builtinId="8" hidden="1"/>
    <cellStyle name="Hyperlink" xfId="4170" builtinId="8" hidden="1"/>
    <cellStyle name="Hyperlink" xfId="4172" builtinId="8" hidden="1"/>
    <cellStyle name="Hyperlink" xfId="4174" builtinId="8" hidden="1"/>
    <cellStyle name="Hyperlink" xfId="4176" builtinId="8" hidden="1"/>
    <cellStyle name="Hyperlink" xfId="4178" builtinId="8" hidden="1"/>
    <cellStyle name="Hyperlink" xfId="4180" builtinId="8" hidden="1"/>
    <cellStyle name="Hyperlink" xfId="4182" builtinId="8" hidden="1"/>
    <cellStyle name="Hyperlink" xfId="4184" builtinId="8" hidden="1"/>
    <cellStyle name="Hyperlink" xfId="4186" builtinId="8" hidden="1"/>
    <cellStyle name="Hyperlink" xfId="4188" builtinId="8" hidden="1"/>
    <cellStyle name="Hyperlink" xfId="4190" builtinId="8" hidden="1"/>
    <cellStyle name="Hyperlink" xfId="4192" builtinId="8" hidden="1"/>
    <cellStyle name="Hyperlink" xfId="4194" builtinId="8" hidden="1"/>
    <cellStyle name="Hyperlink" xfId="4196" builtinId="8" hidden="1"/>
    <cellStyle name="Hyperlink" xfId="4198" builtinId="8" hidden="1"/>
    <cellStyle name="Hyperlink" xfId="4200" builtinId="8" hidden="1"/>
    <cellStyle name="Hyperlink" xfId="4202" builtinId="8" hidden="1"/>
    <cellStyle name="Hyperlink" xfId="4204" builtinId="8" hidden="1"/>
    <cellStyle name="Hyperlink" xfId="4206" builtinId="8" hidden="1"/>
    <cellStyle name="Hyperlink" xfId="4208" builtinId="8" hidden="1"/>
    <cellStyle name="Hyperlink" xfId="4210" builtinId="8" hidden="1"/>
    <cellStyle name="Hyperlink" xfId="4212" builtinId="8" hidden="1"/>
    <cellStyle name="Hyperlink" xfId="4214" builtinId="8" hidden="1"/>
    <cellStyle name="Hyperlink" xfId="4216" builtinId="8" hidden="1"/>
    <cellStyle name="Hyperlink" xfId="4218" builtinId="8" hidden="1"/>
    <cellStyle name="Hyperlink" xfId="4220" builtinId="8" hidden="1"/>
    <cellStyle name="Hyperlink" xfId="4222" builtinId="8" hidden="1"/>
    <cellStyle name="Hyperlink" xfId="4224" builtinId="8" hidden="1"/>
    <cellStyle name="Hyperlink" xfId="4226" builtinId="8" hidden="1"/>
    <cellStyle name="Hyperlink" xfId="4228" builtinId="8" hidden="1"/>
    <cellStyle name="Hyperlink" xfId="4230" builtinId="8" hidden="1"/>
    <cellStyle name="Hyperlink" xfId="4232" builtinId="8" hidden="1"/>
    <cellStyle name="Hyperlink" xfId="4234" builtinId="8" hidden="1"/>
    <cellStyle name="Hyperlink" xfId="4236" builtinId="8" hidden="1"/>
    <cellStyle name="Hyperlink" xfId="4238" builtinId="8" hidden="1"/>
    <cellStyle name="Hyperlink" xfId="4240" builtinId="8" hidden="1"/>
    <cellStyle name="Hyperlink" xfId="4242" builtinId="8" hidden="1"/>
    <cellStyle name="Hyperlink" xfId="4244" builtinId="8" hidden="1"/>
    <cellStyle name="Hyperlink" xfId="4246" builtinId="8" hidden="1"/>
    <cellStyle name="Hyperlink" xfId="4248" builtinId="8" hidden="1"/>
    <cellStyle name="Hyperlink" xfId="4250" builtinId="8" hidden="1"/>
    <cellStyle name="Hyperlink" xfId="4252" builtinId="8" hidden="1"/>
    <cellStyle name="Hyperlink" xfId="4254" builtinId="8" hidden="1"/>
    <cellStyle name="Hyperlink" xfId="4256" builtinId="8" hidden="1"/>
    <cellStyle name="Hyperlink" xfId="4258" builtinId="8" hidden="1"/>
    <cellStyle name="Hyperlink" xfId="4260" builtinId="8" hidden="1"/>
    <cellStyle name="Hyperlink" xfId="4262" builtinId="8" hidden="1"/>
    <cellStyle name="Hyperlink" xfId="4264" builtinId="8" hidden="1"/>
    <cellStyle name="Hyperlink" xfId="4266" builtinId="8" hidden="1"/>
    <cellStyle name="Hyperlink" xfId="4268" builtinId="8" hidden="1"/>
    <cellStyle name="Hyperlink" xfId="4270" builtinId="8" hidden="1"/>
    <cellStyle name="Hyperlink" xfId="4272" builtinId="8" hidden="1"/>
    <cellStyle name="Hyperlink" xfId="4274" builtinId="8" hidden="1"/>
    <cellStyle name="Hyperlink" xfId="4276" builtinId="8" hidden="1"/>
    <cellStyle name="Hyperlink" xfId="4278" builtinId="8" hidden="1"/>
    <cellStyle name="Hyperlink" xfId="4280" builtinId="8" hidden="1"/>
    <cellStyle name="Hyperlink" xfId="4282" builtinId="8" hidden="1"/>
    <cellStyle name="Hyperlink" xfId="4284" builtinId="8" hidden="1"/>
    <cellStyle name="Hyperlink" xfId="4286" builtinId="8" hidden="1"/>
    <cellStyle name="Hyperlink" xfId="4288" builtinId="8" hidden="1"/>
    <cellStyle name="Hyperlink" xfId="4290" builtinId="8" hidden="1"/>
    <cellStyle name="Hyperlink" xfId="4292" builtinId="8" hidden="1"/>
    <cellStyle name="Hyperlink" xfId="4294" builtinId="8" hidden="1"/>
    <cellStyle name="Hyperlink" xfId="4296" builtinId="8" hidden="1"/>
    <cellStyle name="Hyperlink" xfId="4298" builtinId="8" hidden="1"/>
    <cellStyle name="Hyperlink" xfId="4300" builtinId="8" hidden="1"/>
    <cellStyle name="Hyperlink" xfId="4302" builtinId="8" hidden="1"/>
    <cellStyle name="Hyperlink" xfId="4304" builtinId="8" hidden="1"/>
    <cellStyle name="Hyperlink" xfId="4306" builtinId="8" hidden="1"/>
    <cellStyle name="Hyperlink" xfId="4308" builtinId="8" hidden="1"/>
    <cellStyle name="Hyperlink" xfId="4310" builtinId="8" hidden="1"/>
    <cellStyle name="Hyperlink" xfId="4312" builtinId="8" hidden="1"/>
    <cellStyle name="Hyperlink" xfId="4314" builtinId="8" hidden="1"/>
    <cellStyle name="Hyperlink" xfId="4316" builtinId="8" hidden="1"/>
    <cellStyle name="Hyperlink" xfId="4318" builtinId="8" hidden="1"/>
    <cellStyle name="Hyperlink" xfId="4320" builtinId="8" hidden="1"/>
    <cellStyle name="Hyperlink" xfId="4322" builtinId="8" hidden="1"/>
    <cellStyle name="Hyperlink" xfId="4324" builtinId="8" hidden="1"/>
    <cellStyle name="Hyperlink" xfId="4326" builtinId="8" hidden="1"/>
    <cellStyle name="Hyperlink" xfId="4328" builtinId="8" hidden="1"/>
    <cellStyle name="Hyperlink" xfId="4330" builtinId="8" hidden="1"/>
    <cellStyle name="Hyperlink" xfId="4332" builtinId="8" hidden="1"/>
    <cellStyle name="Hyperlink" xfId="4334" builtinId="8" hidden="1"/>
    <cellStyle name="Hyperlink" xfId="4336" builtinId="8" hidden="1"/>
    <cellStyle name="Hyperlink" xfId="4338" builtinId="8" hidden="1"/>
    <cellStyle name="Hyperlink" xfId="4340" builtinId="8" hidden="1"/>
    <cellStyle name="Hyperlink" xfId="4342" builtinId="8" hidden="1"/>
    <cellStyle name="Hyperlink" xfId="4344" builtinId="8" hidden="1"/>
    <cellStyle name="Hyperlink" xfId="4346" builtinId="8" hidden="1"/>
    <cellStyle name="Hyperlink" xfId="4348" builtinId="8" hidden="1"/>
    <cellStyle name="Hyperlink" xfId="4350" builtinId="8" hidden="1"/>
    <cellStyle name="Hyperlink" xfId="4352" builtinId="8" hidden="1"/>
    <cellStyle name="Hyperlink" xfId="4354" builtinId="8" hidden="1"/>
    <cellStyle name="Hyperlink" xfId="4356" builtinId="8" hidden="1"/>
    <cellStyle name="Hyperlink" xfId="4358" builtinId="8" hidden="1"/>
    <cellStyle name="Hyperlink" xfId="4360" builtinId="8" hidden="1"/>
    <cellStyle name="Hyperlink" xfId="4362" builtinId="8" hidden="1"/>
    <cellStyle name="Hyperlink" xfId="4364" builtinId="8" hidden="1"/>
    <cellStyle name="Hyperlink" xfId="4366" builtinId="8" hidden="1"/>
    <cellStyle name="Hyperlink" xfId="4368" builtinId="8" hidden="1"/>
    <cellStyle name="Hyperlink" xfId="4370" builtinId="8" hidden="1"/>
    <cellStyle name="Hyperlink" xfId="4372" builtinId="8" hidden="1"/>
    <cellStyle name="Hyperlink" xfId="4374" builtinId="8" hidden="1"/>
    <cellStyle name="Hyperlink" xfId="4376" builtinId="8" hidden="1"/>
    <cellStyle name="Hyperlink" xfId="4378" builtinId="8" hidden="1"/>
    <cellStyle name="Hyperlink" xfId="4380" builtinId="8" hidden="1"/>
    <cellStyle name="Hyperlink" xfId="4382" builtinId="8" hidden="1"/>
    <cellStyle name="Hyperlink" xfId="4384" builtinId="8" hidden="1"/>
    <cellStyle name="Hyperlink" xfId="4386" builtinId="8" hidden="1"/>
    <cellStyle name="Hyperlink" xfId="4388" builtinId="8" hidden="1"/>
    <cellStyle name="Hyperlink" xfId="4390" builtinId="8" hidden="1"/>
    <cellStyle name="Hyperlink" xfId="4392" builtinId="8" hidden="1"/>
    <cellStyle name="Hyperlink" xfId="4394" builtinId="8" hidden="1"/>
    <cellStyle name="Hyperlink" xfId="4396" builtinId="8" hidden="1"/>
    <cellStyle name="Hyperlink" xfId="4398" builtinId="8" hidden="1"/>
    <cellStyle name="Hyperlink" xfId="4400" builtinId="8" hidden="1"/>
    <cellStyle name="Hyperlink" xfId="4402" builtinId="8" hidden="1"/>
    <cellStyle name="Hyperlink" xfId="4404" builtinId="8" hidden="1"/>
    <cellStyle name="Hyperlink" xfId="4406" builtinId="8" hidden="1"/>
    <cellStyle name="Hyperlink" xfId="4408" builtinId="8" hidden="1"/>
    <cellStyle name="Hyperlink" xfId="4410" builtinId="8" hidden="1"/>
    <cellStyle name="Hyperlink" xfId="4412" builtinId="8" hidden="1"/>
    <cellStyle name="Hyperlink" xfId="4414" builtinId="8" hidden="1"/>
    <cellStyle name="Hyperlink" xfId="4416" builtinId="8" hidden="1"/>
    <cellStyle name="Hyperlink" xfId="4418" builtinId="8" hidden="1"/>
    <cellStyle name="Hyperlink" xfId="4420" builtinId="8" hidden="1"/>
    <cellStyle name="Hyperlink" xfId="4422" builtinId="8" hidden="1"/>
    <cellStyle name="Hyperlink" xfId="4424" builtinId="8" hidden="1"/>
    <cellStyle name="Hyperlink" xfId="4426" builtinId="8" hidden="1"/>
    <cellStyle name="Hyperlink" xfId="4428" builtinId="8" hidden="1"/>
    <cellStyle name="Hyperlink" xfId="4430" builtinId="8" hidden="1"/>
    <cellStyle name="Hyperlink" xfId="4432" builtinId="8" hidden="1"/>
    <cellStyle name="Hyperlink" xfId="4434" builtinId="8" hidden="1"/>
    <cellStyle name="Hyperlink" xfId="4436" builtinId="8" hidden="1"/>
    <cellStyle name="Hyperlink" xfId="4438" builtinId="8" hidden="1"/>
    <cellStyle name="Hyperlink" xfId="4440" builtinId="8" hidden="1"/>
    <cellStyle name="Hyperlink" xfId="4442" builtinId="8" hidden="1"/>
    <cellStyle name="Hyperlink" xfId="4444" builtinId="8" hidden="1"/>
    <cellStyle name="Hyperlink" xfId="4446" builtinId="8" hidden="1"/>
    <cellStyle name="Hyperlink" xfId="4448" builtinId="8" hidden="1"/>
    <cellStyle name="Hyperlink" xfId="4450" builtinId="8" hidden="1"/>
    <cellStyle name="Hyperlink" xfId="4452" builtinId="8" hidden="1"/>
    <cellStyle name="Hyperlink" xfId="4454" builtinId="8" hidden="1"/>
    <cellStyle name="Hyperlink" xfId="4456" builtinId="8" hidden="1"/>
    <cellStyle name="Hyperlink" xfId="4458" builtinId="8" hidden="1"/>
    <cellStyle name="Hyperlink" xfId="4460" builtinId="8" hidden="1"/>
    <cellStyle name="Hyperlink" xfId="4462" builtinId="8" hidden="1"/>
    <cellStyle name="Hyperlink" xfId="4464" builtinId="8" hidden="1"/>
    <cellStyle name="Hyperlink" xfId="4466" builtinId="8" hidden="1"/>
    <cellStyle name="Hyperlink" xfId="4468" builtinId="8" hidden="1"/>
    <cellStyle name="Hyperlink" xfId="4470" builtinId="8" hidden="1"/>
    <cellStyle name="Hyperlink" xfId="4472" builtinId="8" hidden="1"/>
    <cellStyle name="Hyperlink" xfId="4474" builtinId="8" hidden="1"/>
    <cellStyle name="Hyperlink" xfId="4476" builtinId="8" hidden="1"/>
    <cellStyle name="Hyperlink" xfId="4478" builtinId="8" hidden="1"/>
    <cellStyle name="Hyperlink" xfId="4480" builtinId="8" hidden="1"/>
    <cellStyle name="Hyperlink" xfId="4482" builtinId="8" hidden="1"/>
    <cellStyle name="Hyperlink" xfId="4484" builtinId="8" hidden="1"/>
    <cellStyle name="Hyperlink" xfId="4486" builtinId="8" hidden="1"/>
    <cellStyle name="Hyperlink" xfId="4488" builtinId="8" hidden="1"/>
    <cellStyle name="Hyperlink" xfId="4490" builtinId="8" hidden="1"/>
    <cellStyle name="Hyperlink" xfId="4492" builtinId="8" hidden="1"/>
    <cellStyle name="Hyperlink" xfId="4494" builtinId="8" hidden="1"/>
    <cellStyle name="Hyperlink" xfId="4496" builtinId="8" hidden="1"/>
    <cellStyle name="Hyperlink" xfId="4498" builtinId="8" hidden="1"/>
    <cellStyle name="Hyperlink" xfId="4500" builtinId="8" hidden="1"/>
    <cellStyle name="Hyperlink" xfId="4502" builtinId="8" hidden="1"/>
    <cellStyle name="Hyperlink" xfId="4504" builtinId="8" hidden="1"/>
    <cellStyle name="Hyperlink" xfId="4506" builtinId="8" hidden="1"/>
    <cellStyle name="Hyperlink" xfId="4508" builtinId="8" hidden="1"/>
    <cellStyle name="Hyperlink" xfId="4510" builtinId="8" hidden="1"/>
    <cellStyle name="Hyperlink" xfId="4512" builtinId="8" hidden="1"/>
    <cellStyle name="Hyperlink" xfId="4514" builtinId="8" hidden="1"/>
    <cellStyle name="Hyperlink" xfId="4516" builtinId="8" hidden="1"/>
    <cellStyle name="Hyperlink" xfId="4518" builtinId="8" hidden="1"/>
    <cellStyle name="Hyperlink" xfId="4520" builtinId="8" hidden="1"/>
    <cellStyle name="Hyperlink" xfId="4522" builtinId="8" hidden="1"/>
    <cellStyle name="Hyperlink" xfId="4524" builtinId="8" hidden="1"/>
    <cellStyle name="Hyperlink" xfId="4526" builtinId="8" hidden="1"/>
    <cellStyle name="Hyperlink" xfId="4528" builtinId="8" hidden="1"/>
    <cellStyle name="Hyperlink" xfId="4530" builtinId="8" hidden="1"/>
    <cellStyle name="Hyperlink" xfId="4532" builtinId="8" hidden="1"/>
    <cellStyle name="Hyperlink" xfId="4534" builtinId="8" hidden="1"/>
    <cellStyle name="Hyperlink" xfId="4536" builtinId="8" hidden="1"/>
    <cellStyle name="Hyperlink" xfId="4538" builtinId="8" hidden="1"/>
    <cellStyle name="Hyperlink" xfId="4540" builtinId="8" hidden="1"/>
    <cellStyle name="Hyperlink" xfId="4542" builtinId="8" hidden="1"/>
    <cellStyle name="Hyperlink" xfId="4544" builtinId="8" hidden="1"/>
    <cellStyle name="Hyperlink" xfId="4546" builtinId="8" hidden="1"/>
    <cellStyle name="Hyperlink" xfId="4548" builtinId="8" hidden="1"/>
    <cellStyle name="Hyperlink" xfId="4550" builtinId="8" hidden="1"/>
    <cellStyle name="Hyperlink" xfId="4552" builtinId="8" hidden="1"/>
    <cellStyle name="Hyperlink" xfId="4554" builtinId="8" hidden="1"/>
    <cellStyle name="Hyperlink" xfId="4556" builtinId="8" hidden="1"/>
    <cellStyle name="Hyperlink" xfId="4558" builtinId="8" hidden="1"/>
    <cellStyle name="Hyperlink" xfId="4560" builtinId="8" hidden="1"/>
    <cellStyle name="Hyperlink" xfId="4562" builtinId="8" hidden="1"/>
    <cellStyle name="Hyperlink" xfId="4564" builtinId="8" hidden="1"/>
    <cellStyle name="Hyperlink" xfId="4566" builtinId="8" hidden="1"/>
    <cellStyle name="Hyperlink" xfId="4568" builtinId="8" hidden="1"/>
    <cellStyle name="Hyperlink" xfId="4570" builtinId="8" hidden="1"/>
    <cellStyle name="Hyperlink" xfId="4572" builtinId="8" hidden="1"/>
    <cellStyle name="Hyperlink" xfId="4574" builtinId="8" hidden="1"/>
    <cellStyle name="Hyperlink" xfId="4576" builtinId="8" hidden="1"/>
    <cellStyle name="Hyperlink" xfId="4578" builtinId="8" hidden="1"/>
    <cellStyle name="Hyperlink" xfId="4580" builtinId="8" hidden="1"/>
    <cellStyle name="Hyperlink" xfId="4582" builtinId="8" hidden="1"/>
    <cellStyle name="Hyperlink" xfId="4584" builtinId="8" hidden="1"/>
    <cellStyle name="Hyperlink" xfId="4586" builtinId="8" hidden="1"/>
    <cellStyle name="Hyperlink" xfId="4588" builtinId="8" hidden="1"/>
    <cellStyle name="Hyperlink" xfId="4590" builtinId="8" hidden="1"/>
    <cellStyle name="Hyperlink" xfId="4592" builtinId="8" hidden="1"/>
    <cellStyle name="Hyperlink" xfId="4594" builtinId="8" hidden="1"/>
    <cellStyle name="Hyperlink" xfId="4596" builtinId="8" hidden="1"/>
    <cellStyle name="Hyperlink" xfId="4598" builtinId="8" hidden="1"/>
    <cellStyle name="Hyperlink" xfId="4600" builtinId="8" hidden="1"/>
    <cellStyle name="Hyperlink" xfId="4602" builtinId="8" hidden="1"/>
    <cellStyle name="Hyperlink" xfId="4604" builtinId="8" hidden="1"/>
    <cellStyle name="Hyperlink" xfId="4606" builtinId="8" hidden="1"/>
    <cellStyle name="Hyperlink" xfId="4608" builtinId="8" hidden="1"/>
    <cellStyle name="Hyperlink" xfId="4610" builtinId="8" hidden="1"/>
    <cellStyle name="Hyperlink" xfId="4612" builtinId="8" hidden="1"/>
    <cellStyle name="Hyperlink" xfId="4614" builtinId="8" hidden="1"/>
    <cellStyle name="Hyperlink" xfId="4616" builtinId="8" hidden="1"/>
    <cellStyle name="Hyperlink" xfId="4618" builtinId="8" hidden="1"/>
    <cellStyle name="Hyperlink" xfId="4620" builtinId="8" hidden="1"/>
    <cellStyle name="Hyperlink" xfId="4622" builtinId="8" hidden="1"/>
    <cellStyle name="Hyperlink" xfId="4624" builtinId="8" hidden="1"/>
    <cellStyle name="Hyperlink" xfId="4626" builtinId="8" hidden="1"/>
    <cellStyle name="Hyperlink" xfId="4628" builtinId="8" hidden="1"/>
    <cellStyle name="Hyperlink" xfId="4630" builtinId="8" hidden="1"/>
    <cellStyle name="Hyperlink" xfId="4632" builtinId="8" hidden="1"/>
    <cellStyle name="Hyperlink" xfId="4634" builtinId="8" hidden="1"/>
    <cellStyle name="Hyperlink" xfId="4636" builtinId="8" hidden="1"/>
    <cellStyle name="Hyperlink" xfId="4638" builtinId="8" hidden="1"/>
    <cellStyle name="Hyperlink" xfId="4640" builtinId="8" hidden="1"/>
    <cellStyle name="Hyperlink" xfId="4642" builtinId="8" hidden="1"/>
    <cellStyle name="Hyperlink" xfId="4644" builtinId="8" hidden="1"/>
    <cellStyle name="Hyperlink" xfId="4646" builtinId="8" hidden="1"/>
    <cellStyle name="Hyperlink" xfId="4648" builtinId="8" hidden="1"/>
    <cellStyle name="Hyperlink" xfId="4650" builtinId="8" hidden="1"/>
    <cellStyle name="Hyperlink" xfId="4652" builtinId="8" hidden="1"/>
    <cellStyle name="Hyperlink" xfId="4654" builtinId="8" hidden="1"/>
    <cellStyle name="Hyperlink" xfId="4656" builtinId="8" hidden="1"/>
    <cellStyle name="Hyperlink" xfId="4658" builtinId="8" hidden="1"/>
    <cellStyle name="Hyperlink" xfId="4660" builtinId="8" hidden="1"/>
    <cellStyle name="Hyperlink" xfId="4662" builtinId="8" hidden="1"/>
    <cellStyle name="Hyperlink" xfId="4664" builtinId="8" hidden="1"/>
    <cellStyle name="Hyperlink" xfId="4666" builtinId="8" hidden="1"/>
    <cellStyle name="Hyperlink" xfId="4668" builtinId="8" hidden="1"/>
    <cellStyle name="Hyperlink" xfId="4670" builtinId="8" hidden="1"/>
    <cellStyle name="Hyperlink" xfId="4672" builtinId="8" hidden="1"/>
    <cellStyle name="Hyperlink" xfId="4674" builtinId="8" hidden="1"/>
    <cellStyle name="Hyperlink" xfId="4676" builtinId="8" hidden="1"/>
    <cellStyle name="Hyperlink" xfId="4678" builtinId="8" hidden="1"/>
    <cellStyle name="Hyperlink" xfId="4680" builtinId="8" hidden="1"/>
    <cellStyle name="Hyperlink" xfId="4682" builtinId="8" hidden="1"/>
    <cellStyle name="Hyperlink" xfId="4684" builtinId="8" hidden="1"/>
    <cellStyle name="Hyperlink" xfId="4686" builtinId="8" hidden="1"/>
    <cellStyle name="Hyperlink" xfId="4688" builtinId="8" hidden="1"/>
    <cellStyle name="Hyperlink" xfId="4690" builtinId="8" hidden="1"/>
    <cellStyle name="Hyperlink" xfId="4692" builtinId="8" hidden="1"/>
    <cellStyle name="Hyperlink" xfId="4694" builtinId="8" hidden="1"/>
    <cellStyle name="Hyperlink" xfId="4696" builtinId="8" hidden="1"/>
    <cellStyle name="Hyperlink" xfId="4698" builtinId="8" hidden="1"/>
    <cellStyle name="Hyperlink" xfId="4700" builtinId="8" hidden="1"/>
    <cellStyle name="Hyperlink" xfId="4702" builtinId="8" hidden="1"/>
    <cellStyle name="Hyperlink" xfId="4704" builtinId="8" hidden="1"/>
    <cellStyle name="Hyperlink" xfId="4706" builtinId="8" hidden="1"/>
    <cellStyle name="Hyperlink" xfId="4708" builtinId="8" hidden="1"/>
    <cellStyle name="Hyperlink" xfId="4710" builtinId="8" hidden="1"/>
    <cellStyle name="Hyperlink" xfId="4712" builtinId="8" hidden="1"/>
    <cellStyle name="Hyperlink" xfId="4714" builtinId="8" hidden="1"/>
    <cellStyle name="Hyperlink" xfId="4716" builtinId="8" hidden="1"/>
    <cellStyle name="Hyperlink" xfId="4718" builtinId="8" hidden="1"/>
    <cellStyle name="Hyperlink" xfId="4720" builtinId="8" hidden="1"/>
    <cellStyle name="Hyperlink" xfId="4722" builtinId="8" hidden="1"/>
    <cellStyle name="Hyperlink" xfId="4724" builtinId="8" hidden="1"/>
    <cellStyle name="Hyperlink" xfId="4726" builtinId="8" hidden="1"/>
    <cellStyle name="Hyperlink" xfId="4728" builtinId="8" hidden="1"/>
    <cellStyle name="Hyperlink" xfId="4730" builtinId="8" hidden="1"/>
    <cellStyle name="Hyperlink" xfId="4732" builtinId="8" hidden="1"/>
    <cellStyle name="Hyperlink" xfId="4734" builtinId="8" hidden="1"/>
    <cellStyle name="Hyperlink" xfId="4736" builtinId="8" hidden="1"/>
    <cellStyle name="Hyperlink" xfId="4738" builtinId="8" hidden="1"/>
    <cellStyle name="Hyperlink" xfId="4740" builtinId="8" hidden="1"/>
    <cellStyle name="Hyperlink" xfId="4742" builtinId="8" hidden="1"/>
    <cellStyle name="Hyperlink" xfId="4744" builtinId="8" hidden="1"/>
    <cellStyle name="Hyperlink" xfId="4746" builtinId="8" hidden="1"/>
    <cellStyle name="Hyperlink" xfId="4748" builtinId="8" hidden="1"/>
    <cellStyle name="Hyperlink" xfId="4750" builtinId="8" hidden="1"/>
    <cellStyle name="Hyperlink" xfId="4752" builtinId="8" hidden="1"/>
    <cellStyle name="Hyperlink" xfId="4754" builtinId="8" hidden="1"/>
    <cellStyle name="Hyperlink" xfId="4756" builtinId="8" hidden="1"/>
    <cellStyle name="Hyperlink" xfId="4758" builtinId="8" hidden="1"/>
    <cellStyle name="Hyperlink" xfId="4760" builtinId="8" hidden="1"/>
    <cellStyle name="Hyperlink" xfId="4762" builtinId="8" hidden="1"/>
    <cellStyle name="Hyperlink" xfId="4764" builtinId="8" hidden="1"/>
    <cellStyle name="Hyperlink" xfId="4766" builtinId="8" hidden="1"/>
    <cellStyle name="Hyperlink" xfId="4768" builtinId="8" hidden="1"/>
    <cellStyle name="Hyperlink" xfId="4770" builtinId="8" hidden="1"/>
    <cellStyle name="Hyperlink" xfId="4772" builtinId="8" hidden="1"/>
    <cellStyle name="Hyperlink" xfId="4774" builtinId="8" hidden="1"/>
    <cellStyle name="Hyperlink" xfId="4776" builtinId="8" hidden="1"/>
    <cellStyle name="Hyperlink" xfId="4778" builtinId="8" hidden="1"/>
    <cellStyle name="Hyperlink" xfId="4780" builtinId="8" hidden="1"/>
    <cellStyle name="Hyperlink" xfId="4782" builtinId="8" hidden="1"/>
    <cellStyle name="Hyperlink" xfId="4784" builtinId="8" hidden="1"/>
    <cellStyle name="Hyperlink" xfId="4786" builtinId="8" hidden="1"/>
    <cellStyle name="Hyperlink" xfId="4788" builtinId="8" hidden="1"/>
    <cellStyle name="Hyperlink" xfId="4790" builtinId="8" hidden="1"/>
    <cellStyle name="Hyperlink" xfId="4792" builtinId="8" hidden="1"/>
    <cellStyle name="Hyperlink" xfId="4794" builtinId="8" hidden="1"/>
    <cellStyle name="Hyperlink" xfId="4796" builtinId="8" hidden="1"/>
    <cellStyle name="Hyperlink" xfId="4798" builtinId="8" hidden="1"/>
    <cellStyle name="Hyperlink" xfId="4800" builtinId="8" hidden="1"/>
    <cellStyle name="Hyperlink" xfId="4802" builtinId="8" hidden="1"/>
    <cellStyle name="Hyperlink" xfId="4804" builtinId="8" hidden="1"/>
    <cellStyle name="Hyperlink" xfId="4806" builtinId="8" hidden="1"/>
    <cellStyle name="Hyperlink" xfId="4808" builtinId="8" hidden="1"/>
    <cellStyle name="Hyperlink" xfId="4810" builtinId="8" hidden="1"/>
    <cellStyle name="Hyperlink" xfId="4812" builtinId="8" hidden="1"/>
    <cellStyle name="Hyperlink" xfId="4814" builtinId="8" hidden="1"/>
    <cellStyle name="Hyperlink" xfId="4816" builtinId="8" hidden="1"/>
    <cellStyle name="Hyperlink" xfId="4818" builtinId="8" hidden="1"/>
    <cellStyle name="Hyperlink" xfId="4820" builtinId="8" hidden="1"/>
    <cellStyle name="Hyperlink" xfId="4822" builtinId="8" hidden="1"/>
    <cellStyle name="Hyperlink" xfId="4824" builtinId="8" hidden="1"/>
    <cellStyle name="Hyperlink" xfId="4826" builtinId="8" hidden="1"/>
    <cellStyle name="Hyperlink" xfId="4828" builtinId="8" hidden="1"/>
    <cellStyle name="Hyperlink" xfId="4830" builtinId="8" hidden="1"/>
    <cellStyle name="Hyperlink" xfId="4832" builtinId="8" hidden="1"/>
    <cellStyle name="Hyperlink" xfId="4834" builtinId="8" hidden="1"/>
    <cellStyle name="Hyperlink" xfId="4836" builtinId="8" hidden="1"/>
    <cellStyle name="Hyperlink" xfId="4838" builtinId="8" hidden="1"/>
    <cellStyle name="Hyperlink" xfId="4840" builtinId="8" hidden="1"/>
    <cellStyle name="Hyperlink" xfId="4842" builtinId="8" hidden="1"/>
    <cellStyle name="Hyperlink" xfId="4844" builtinId="8" hidden="1"/>
    <cellStyle name="Hyperlink" xfId="4846" builtinId="8" hidden="1"/>
    <cellStyle name="Hyperlink" xfId="4848" builtinId="8" hidden="1"/>
    <cellStyle name="Hyperlink" xfId="4850" builtinId="8" hidden="1"/>
    <cellStyle name="Hyperlink" xfId="4852" builtinId="8" hidden="1"/>
    <cellStyle name="Hyperlink" xfId="4854" builtinId="8" hidden="1"/>
    <cellStyle name="Hyperlink" xfId="4856" builtinId="8" hidden="1"/>
    <cellStyle name="Hyperlink" xfId="4858" builtinId="8" hidden="1"/>
    <cellStyle name="Hyperlink" xfId="4860" builtinId="8" hidden="1"/>
    <cellStyle name="Hyperlink" xfId="4862" builtinId="8" hidden="1"/>
    <cellStyle name="Hyperlink" xfId="4864" builtinId="8" hidden="1"/>
    <cellStyle name="Hyperlink" xfId="4866" builtinId="8" hidden="1"/>
    <cellStyle name="Hyperlink" xfId="4868" builtinId="8" hidden="1"/>
    <cellStyle name="Hyperlink" xfId="4870" builtinId="8" hidden="1"/>
    <cellStyle name="Hyperlink" xfId="4872" builtinId="8" hidden="1"/>
    <cellStyle name="Hyperlink" xfId="4874" builtinId="8" hidden="1"/>
    <cellStyle name="Hyperlink" xfId="4876" builtinId="8" hidden="1"/>
    <cellStyle name="Hyperlink" xfId="4878" builtinId="8" hidden="1"/>
    <cellStyle name="Hyperlink" xfId="4880" builtinId="8" hidden="1"/>
    <cellStyle name="Hyperlink" xfId="4882" builtinId="8" hidden="1"/>
    <cellStyle name="Hyperlink" xfId="4884" builtinId="8" hidden="1"/>
    <cellStyle name="Hyperlink" xfId="4886" builtinId="8" hidden="1"/>
    <cellStyle name="Hyperlink" xfId="4888" builtinId="8" hidden="1"/>
    <cellStyle name="Hyperlink" xfId="4890" builtinId="8" hidden="1"/>
    <cellStyle name="Hyperlink" xfId="4892" builtinId="8" hidden="1"/>
    <cellStyle name="Hyperlink" xfId="4894" builtinId="8" hidden="1"/>
    <cellStyle name="Hyperlink" xfId="4896" builtinId="8" hidden="1"/>
    <cellStyle name="Hyperlink" xfId="4898" builtinId="8" hidden="1"/>
    <cellStyle name="Hyperlink" xfId="4900" builtinId="8" hidden="1"/>
    <cellStyle name="Hyperlink" xfId="4902" builtinId="8" hidden="1"/>
    <cellStyle name="Hyperlink" xfId="4904" builtinId="8" hidden="1"/>
    <cellStyle name="Hyperlink" xfId="4906" builtinId="8" hidden="1"/>
    <cellStyle name="Hyperlink" xfId="4908" builtinId="8" hidden="1"/>
    <cellStyle name="Hyperlink" xfId="4910" builtinId="8" hidden="1"/>
    <cellStyle name="Hyperlink" xfId="4912" builtinId="8" hidden="1"/>
    <cellStyle name="Hyperlink" xfId="4914" builtinId="8" hidden="1"/>
    <cellStyle name="Hyperlink" xfId="4916" builtinId="8" hidden="1"/>
    <cellStyle name="Hyperlink" xfId="4918" builtinId="8" hidden="1"/>
    <cellStyle name="Hyperlink" xfId="4920" builtinId="8" hidden="1"/>
    <cellStyle name="Hyperlink" xfId="4922" builtinId="8" hidden="1"/>
    <cellStyle name="Hyperlink" xfId="4924" builtinId="8" hidden="1"/>
    <cellStyle name="Hyperlink" xfId="4926" builtinId="8" hidden="1"/>
    <cellStyle name="Hyperlink" xfId="4928" builtinId="8" hidden="1"/>
    <cellStyle name="Hyperlink" xfId="4930" builtinId="8" hidden="1"/>
    <cellStyle name="Hyperlink" xfId="4932" builtinId="8" hidden="1"/>
    <cellStyle name="Hyperlink" xfId="4934" builtinId="8" hidden="1"/>
    <cellStyle name="Hyperlink" xfId="4936" builtinId="8" hidden="1"/>
    <cellStyle name="Hyperlink" xfId="4938" builtinId="8" hidden="1"/>
    <cellStyle name="Hyperlink" xfId="4940" builtinId="8" hidden="1"/>
    <cellStyle name="Hyperlink" xfId="4942" builtinId="8" hidden="1"/>
    <cellStyle name="Hyperlink" xfId="4944" builtinId="8" hidden="1"/>
    <cellStyle name="Hyperlink" xfId="4946" builtinId="8" hidden="1"/>
    <cellStyle name="Hyperlink" xfId="4948" builtinId="8" hidden="1"/>
    <cellStyle name="Hyperlink" xfId="4950" builtinId="8" hidden="1"/>
    <cellStyle name="Hyperlink" xfId="4952" builtinId="8" hidden="1"/>
    <cellStyle name="Hyperlink" xfId="4954" builtinId="8" hidden="1"/>
    <cellStyle name="Hyperlink" xfId="4956" builtinId="8" hidden="1"/>
    <cellStyle name="Hyperlink" xfId="4958" builtinId="8" hidden="1"/>
    <cellStyle name="Hyperlink" xfId="4960" builtinId="8" hidden="1"/>
    <cellStyle name="Hyperlink" xfId="4962" builtinId="8" hidden="1"/>
    <cellStyle name="Hyperlink" xfId="4964" builtinId="8" hidden="1"/>
    <cellStyle name="Hyperlink" xfId="4966" builtinId="8" hidden="1"/>
    <cellStyle name="Hyperlink" xfId="4968" builtinId="8" hidden="1"/>
    <cellStyle name="Hyperlink" xfId="4970" builtinId="8" hidden="1"/>
    <cellStyle name="Hyperlink" xfId="4972" builtinId="8" hidden="1"/>
    <cellStyle name="Hyperlink" xfId="4974" builtinId="8" hidden="1"/>
    <cellStyle name="Hyperlink" xfId="4976" builtinId="8" hidden="1"/>
    <cellStyle name="Hyperlink" xfId="4978" builtinId="8" hidden="1"/>
    <cellStyle name="Hyperlink" xfId="4980" builtinId="8" hidden="1"/>
    <cellStyle name="Hyperlink" xfId="4982" builtinId="8" hidden="1"/>
    <cellStyle name="Hyperlink" xfId="4984" builtinId="8" hidden="1"/>
    <cellStyle name="Hyperlink" xfId="4986" builtinId="8" hidden="1"/>
    <cellStyle name="Hyperlink" xfId="4988" builtinId="8" hidden="1"/>
    <cellStyle name="Hyperlink" xfId="4990" builtinId="8" hidden="1"/>
    <cellStyle name="Hyperlink" xfId="4992" builtinId="8" hidden="1"/>
    <cellStyle name="Hyperlink" xfId="4994" builtinId="8" hidden="1"/>
    <cellStyle name="Hyperlink" xfId="4996" builtinId="8" hidden="1"/>
    <cellStyle name="Hyperlink" xfId="4998" builtinId="8" hidden="1"/>
    <cellStyle name="Hyperlink" xfId="5000" builtinId="8" hidden="1"/>
    <cellStyle name="Hyperlink" xfId="5002" builtinId="8" hidden="1"/>
    <cellStyle name="Hyperlink" xfId="5004" builtinId="8" hidden="1"/>
    <cellStyle name="Hyperlink" xfId="5006" builtinId="8" hidden="1"/>
    <cellStyle name="Hyperlink" xfId="5008" builtinId="8" hidden="1"/>
    <cellStyle name="Hyperlink" xfId="5010" builtinId="8" hidden="1"/>
    <cellStyle name="Hyperlink" xfId="5012" builtinId="8" hidden="1"/>
    <cellStyle name="Hyperlink" xfId="5014" builtinId="8" hidden="1"/>
    <cellStyle name="Hyperlink" xfId="5016" builtinId="8" hidden="1"/>
    <cellStyle name="Hyperlink" xfId="5018" builtinId="8" hidden="1"/>
    <cellStyle name="Hyperlink" xfId="5020" builtinId="8" hidden="1"/>
    <cellStyle name="Hyperlink" xfId="5022" builtinId="8" hidden="1"/>
    <cellStyle name="Hyperlink" xfId="5024" builtinId="8" hidden="1"/>
    <cellStyle name="Hyperlink" xfId="5026" builtinId="8" hidden="1"/>
    <cellStyle name="Hyperlink" xfId="5028" builtinId="8" hidden="1"/>
    <cellStyle name="Hyperlink" xfId="5030" builtinId="8" hidden="1"/>
    <cellStyle name="Hyperlink" xfId="5032" builtinId="8" hidden="1"/>
    <cellStyle name="Hyperlink" xfId="5034" builtinId="8" hidden="1"/>
    <cellStyle name="Hyperlink" xfId="5036" builtinId="8" hidden="1"/>
    <cellStyle name="Hyperlink" xfId="5038" builtinId="8" hidden="1"/>
    <cellStyle name="Hyperlink" xfId="5040" builtinId="8" hidden="1"/>
    <cellStyle name="Hyperlink" xfId="5042" builtinId="8" hidden="1"/>
    <cellStyle name="Hyperlink" xfId="5044" builtinId="8" hidden="1"/>
    <cellStyle name="Hyperlink" xfId="5046" builtinId="8" hidden="1"/>
    <cellStyle name="Hyperlink" xfId="5048" builtinId="8" hidden="1"/>
    <cellStyle name="Hyperlink" xfId="5050" builtinId="8" hidden="1"/>
    <cellStyle name="Hyperlink" xfId="5052" builtinId="8" hidden="1"/>
    <cellStyle name="Hyperlink" xfId="5054" builtinId="8" hidden="1"/>
    <cellStyle name="Hyperlink" xfId="5056" builtinId="8" hidden="1"/>
    <cellStyle name="Hyperlink" xfId="5058" builtinId="8" hidden="1"/>
    <cellStyle name="Hyperlink" xfId="5060" builtinId="8" hidden="1"/>
    <cellStyle name="Hyperlink" xfId="5062" builtinId="8" hidden="1"/>
    <cellStyle name="Hyperlink" xfId="5064" builtinId="8" hidden="1"/>
    <cellStyle name="Hyperlink" xfId="5066" builtinId="8" hidden="1"/>
    <cellStyle name="Hyperlink" xfId="5068" builtinId="8" hidden="1"/>
    <cellStyle name="Hyperlink" xfId="5070" builtinId="8" hidden="1"/>
    <cellStyle name="Hyperlink" xfId="5072" builtinId="8" hidden="1"/>
    <cellStyle name="Hyperlink" xfId="5074" builtinId="8" hidden="1"/>
    <cellStyle name="Hyperlink" xfId="5076" builtinId="8" hidden="1"/>
    <cellStyle name="Hyperlink" xfId="5078" builtinId="8" hidden="1"/>
    <cellStyle name="Hyperlink" xfId="5080" builtinId="8" hidden="1"/>
    <cellStyle name="Hyperlink" xfId="5082" builtinId="8" hidden="1"/>
    <cellStyle name="Hyperlink" xfId="5084" builtinId="8" hidden="1"/>
    <cellStyle name="Hyperlink" xfId="5086" builtinId="8" hidden="1"/>
    <cellStyle name="Hyperlink" xfId="5088" builtinId="8" hidden="1"/>
    <cellStyle name="Hyperlink" xfId="5090" builtinId="8" hidden="1"/>
    <cellStyle name="Hyperlink" xfId="5092" builtinId="8" hidden="1"/>
    <cellStyle name="Hyperlink" xfId="5094" builtinId="8" hidden="1"/>
    <cellStyle name="Hyperlink" xfId="5096" builtinId="8" hidden="1"/>
    <cellStyle name="Hyperlink" xfId="5098" builtinId="8" hidden="1"/>
    <cellStyle name="Hyperlink" xfId="5100" builtinId="8" hidden="1"/>
    <cellStyle name="Hyperlink" xfId="5102" builtinId="8" hidden="1"/>
    <cellStyle name="Hyperlink" xfId="5104" builtinId="8" hidden="1"/>
    <cellStyle name="Hyperlink" xfId="5106" builtinId="8" hidden="1"/>
    <cellStyle name="Hyperlink" xfId="5108" builtinId="8" hidden="1"/>
    <cellStyle name="Hyperlink" xfId="5110" builtinId="8" hidden="1"/>
    <cellStyle name="Normal" xfId="0" builtinId="0"/>
    <cellStyle name="Normal 2" xfId="1146"/>
    <cellStyle name="Percent" xfId="1" builtinId="5"/>
  </cellStyles>
  <dxfs count="0"/>
  <tableStyles count="0" defaultTableStyle="TableStyleMedium9" defaultPivotStyle="PivotStyleLight16"/>
  <colors>
    <mruColors>
      <color rgb="FF66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elson/Downloads/Estimated%20Population%20&amp;%20nets%20for%20UWR,%20GAR%20&amp;%20NR%20for%20AM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per West"/>
      <sheetName val="GAR"/>
      <sheetName val="NR"/>
      <sheetName val="Summary"/>
    </sheetNames>
    <sheetDataSet>
      <sheetData sheetId="0">
        <row r="15">
          <cell r="C15">
            <v>786050</v>
          </cell>
        </row>
      </sheetData>
      <sheetData sheetId="1">
        <row r="14">
          <cell r="E14">
            <v>2083496</v>
          </cell>
        </row>
      </sheetData>
      <sheetData sheetId="2">
        <row r="23">
          <cell r="D23">
            <v>1966709.5233240302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48"/>
  <sheetViews>
    <sheetView tabSelected="1" zoomScale="75" zoomScaleNormal="75" zoomScalePageLayoutView="150" workbookViewId="0"/>
  </sheetViews>
  <sheetFormatPr defaultColWidth="8.7109375" defaultRowHeight="15" x14ac:dyDescent="0.25"/>
  <cols>
    <col min="1" max="1" width="6.7109375" customWidth="1"/>
    <col min="2" max="2" width="37.42578125" customWidth="1"/>
    <col min="3" max="3" width="0.7109375" customWidth="1"/>
    <col min="4" max="4" width="16.140625" customWidth="1"/>
    <col min="5" max="5" width="0.7109375" customWidth="1"/>
    <col min="6" max="6" width="11.140625" customWidth="1"/>
    <col min="7" max="7" width="0.7109375" customWidth="1"/>
    <col min="8" max="8" width="21.42578125" customWidth="1"/>
    <col min="9" max="9" width="0.7109375" customWidth="1"/>
    <col min="10" max="10" width="10.42578125" bestFit="1" customWidth="1"/>
    <col min="11" max="11" width="0.7109375" customWidth="1"/>
    <col min="12" max="12" width="16.28515625" customWidth="1"/>
    <col min="13" max="13" width="0.7109375" customWidth="1"/>
    <col min="14" max="14" width="10.7109375" customWidth="1"/>
    <col min="15" max="15" width="0.7109375" customWidth="1"/>
    <col min="16" max="16" width="12.7109375" customWidth="1"/>
    <col min="17" max="17" width="0.7109375" style="179" customWidth="1"/>
    <col min="18" max="18" width="12.7109375" style="179" customWidth="1"/>
    <col min="19" max="19" width="0.7109375" customWidth="1"/>
    <col min="20" max="20" width="24.42578125" customWidth="1"/>
    <col min="21" max="21" width="0.7109375" customWidth="1"/>
    <col min="22" max="22" width="15.140625" bestFit="1" customWidth="1"/>
    <col min="23" max="23" width="0.7109375" customWidth="1"/>
    <col min="24" max="24" width="8.7109375" style="329"/>
    <col min="25" max="25" width="0.7109375" customWidth="1"/>
    <col min="26" max="26" width="9.7109375" customWidth="1"/>
    <col min="27" max="27" width="6.7109375" customWidth="1"/>
    <col min="28" max="28" width="18.28515625" style="639" customWidth="1"/>
    <col min="29" max="29" width="11" style="179" customWidth="1"/>
    <col min="30" max="30" width="9" style="179" customWidth="1"/>
    <col min="31" max="31" width="60.85546875" style="612" bestFit="1" customWidth="1"/>
    <col min="32" max="32" width="10.7109375" bestFit="1" customWidth="1"/>
  </cols>
  <sheetData>
    <row r="1" spans="2:33" ht="10.35" customHeight="1" x14ac:dyDescent="0.25"/>
    <row r="2" spans="2:33" ht="26.25" x14ac:dyDescent="0.4">
      <c r="B2" s="123" t="s">
        <v>145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S2" s="78"/>
      <c r="T2" s="78"/>
      <c r="U2" s="78"/>
      <c r="V2" s="78"/>
      <c r="W2" s="78"/>
      <c r="X2" s="330"/>
      <c r="Y2" s="113"/>
      <c r="Z2" s="113"/>
      <c r="AA2" s="78"/>
      <c r="AF2" s="78"/>
      <c r="AG2" s="78"/>
    </row>
    <row r="3" spans="2:33" s="179" customFormat="1" ht="15" customHeight="1" x14ac:dyDescent="0.4">
      <c r="B3" s="195"/>
      <c r="T3" s="213" t="s">
        <v>90</v>
      </c>
      <c r="U3" s="197"/>
      <c r="V3" s="467">
        <v>2686809</v>
      </c>
      <c r="X3" s="330"/>
      <c r="Y3" s="184"/>
      <c r="Z3" s="184"/>
      <c r="AB3" s="639"/>
      <c r="AE3" s="612"/>
      <c r="AG3" s="617"/>
    </row>
    <row r="4" spans="2:33" ht="15" customHeight="1" x14ac:dyDescent="0.2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S4" s="78"/>
      <c r="T4" s="214" t="s">
        <v>85</v>
      </c>
      <c r="U4" s="183"/>
      <c r="V4" s="300">
        <f>(+'[1]Upper West'!$C$15+[1]GAR!$E$14+[1]NR!$D$23)/5</f>
        <v>967251.10466480604</v>
      </c>
      <c r="W4" s="107"/>
      <c r="X4" s="331"/>
      <c r="Y4" s="114"/>
      <c r="Z4" s="114"/>
      <c r="AA4" s="78"/>
      <c r="AF4" s="78"/>
      <c r="AG4" s="78"/>
    </row>
    <row r="5" spans="2:33" ht="15" customHeight="1" x14ac:dyDescent="0.25">
      <c r="B5" s="639"/>
      <c r="C5" s="78"/>
      <c r="D5" s="78"/>
      <c r="E5" s="78"/>
      <c r="F5" s="112"/>
      <c r="G5" s="112"/>
      <c r="H5" s="112"/>
      <c r="I5" s="78"/>
      <c r="J5" s="78"/>
      <c r="K5" s="78"/>
      <c r="L5" s="78"/>
      <c r="M5" s="78"/>
      <c r="N5" s="78"/>
      <c r="O5" s="78"/>
      <c r="P5" s="78"/>
      <c r="S5" s="78"/>
      <c r="T5" s="214" t="s">
        <v>86</v>
      </c>
      <c r="U5" s="196"/>
      <c r="V5" s="300"/>
      <c r="W5" s="78"/>
      <c r="X5" s="330"/>
      <c r="Y5" s="113"/>
      <c r="Z5" s="113"/>
      <c r="AA5" s="78"/>
      <c r="AF5" s="78"/>
      <c r="AG5" s="78"/>
    </row>
    <row r="6" spans="2:33" ht="15" customHeight="1" x14ac:dyDescent="0.25">
      <c r="B6" s="639"/>
      <c r="C6" s="81"/>
      <c r="D6" s="725"/>
      <c r="E6" s="78"/>
      <c r="F6" s="112"/>
      <c r="G6" s="112"/>
      <c r="H6" s="112"/>
      <c r="I6" s="78"/>
      <c r="J6" s="78"/>
      <c r="K6" s="78"/>
      <c r="L6" s="78"/>
      <c r="M6" s="78"/>
      <c r="N6" s="78"/>
      <c r="O6" s="78"/>
      <c r="P6" s="78"/>
      <c r="S6" s="78"/>
      <c r="T6" s="82" t="s">
        <v>146</v>
      </c>
      <c r="U6" s="78"/>
      <c r="V6" s="466">
        <v>3.5</v>
      </c>
      <c r="W6" s="108"/>
      <c r="X6" s="332"/>
      <c r="Y6" s="144"/>
      <c r="Z6" s="144"/>
      <c r="AA6" s="78"/>
      <c r="AF6" s="78"/>
      <c r="AG6" s="83"/>
    </row>
    <row r="7" spans="2:33" s="612" customFormat="1" x14ac:dyDescent="0.25">
      <c r="C7" s="774"/>
      <c r="D7" s="612" t="s">
        <v>350</v>
      </c>
      <c r="T7" s="775"/>
      <c r="V7" s="776"/>
      <c r="W7" s="777"/>
      <c r="X7" s="778"/>
      <c r="Y7" s="779"/>
      <c r="Z7" s="779"/>
      <c r="AB7" s="780"/>
      <c r="AG7" s="781"/>
    </row>
    <row r="8" spans="2:33" ht="30" customHeight="1" x14ac:dyDescent="0.25">
      <c r="B8" s="148" t="s">
        <v>37</v>
      </c>
      <c r="C8" s="148"/>
      <c r="D8" s="150" t="s">
        <v>38</v>
      </c>
      <c r="E8" s="149"/>
      <c r="F8" s="150" t="s">
        <v>39</v>
      </c>
      <c r="G8" s="150"/>
      <c r="H8" s="150" t="s">
        <v>40</v>
      </c>
      <c r="I8" s="149"/>
      <c r="J8" s="150" t="s">
        <v>39</v>
      </c>
      <c r="K8" s="150"/>
      <c r="L8" s="150" t="s">
        <v>41</v>
      </c>
      <c r="M8" s="149"/>
      <c r="N8" s="150" t="s">
        <v>39</v>
      </c>
      <c r="O8" s="150"/>
      <c r="P8" s="151" t="s">
        <v>136</v>
      </c>
      <c r="Q8" s="151"/>
      <c r="R8" s="151" t="s">
        <v>232</v>
      </c>
      <c r="S8" s="151"/>
      <c r="T8" s="152" t="s">
        <v>138</v>
      </c>
      <c r="U8" s="152"/>
      <c r="V8" s="151" t="s">
        <v>42</v>
      </c>
      <c r="W8" s="151"/>
      <c r="X8" s="333" t="s">
        <v>233</v>
      </c>
      <c r="Y8" s="153"/>
      <c r="Z8" s="304" t="s">
        <v>106</v>
      </c>
      <c r="AA8" s="149" t="s">
        <v>234</v>
      </c>
      <c r="AB8" s="640" t="s">
        <v>235</v>
      </c>
      <c r="AC8" s="149" t="s">
        <v>237</v>
      </c>
      <c r="AD8" s="149" t="s">
        <v>236</v>
      </c>
      <c r="AE8" s="711" t="s">
        <v>43</v>
      </c>
      <c r="AF8" s="85"/>
      <c r="AG8" s="78"/>
    </row>
    <row r="9" spans="2:33" s="112" customFormat="1" ht="15" customHeight="1" x14ac:dyDescent="0.25">
      <c r="B9" s="262"/>
      <c r="C9" s="262"/>
      <c r="D9" s="263"/>
      <c r="E9" s="97"/>
      <c r="F9" s="263"/>
      <c r="G9" s="263"/>
      <c r="H9" s="263"/>
      <c r="I9" s="97"/>
      <c r="J9" s="263"/>
      <c r="K9" s="263"/>
      <c r="L9" s="263"/>
      <c r="M9" s="97"/>
      <c r="N9" s="263"/>
      <c r="O9" s="263"/>
      <c r="P9" s="233"/>
      <c r="Q9" s="233"/>
      <c r="R9" s="233"/>
      <c r="S9" s="233"/>
      <c r="T9" s="232"/>
      <c r="U9" s="232"/>
      <c r="V9" s="233"/>
      <c r="W9" s="233"/>
      <c r="X9" s="334"/>
      <c r="Y9" s="264"/>
      <c r="Z9" s="264"/>
      <c r="AA9" s="97"/>
      <c r="AB9" s="641"/>
      <c r="AC9" s="97"/>
      <c r="AD9" s="97"/>
      <c r="AE9" s="712"/>
      <c r="AF9" s="211"/>
    </row>
    <row r="10" spans="2:33" s="112" customFormat="1" x14ac:dyDescent="0.25">
      <c r="B10" s="269" t="s">
        <v>87</v>
      </c>
      <c r="C10" s="270"/>
      <c r="D10" s="271"/>
      <c r="E10" s="272"/>
      <c r="F10" s="272"/>
      <c r="G10" s="272"/>
      <c r="H10" s="271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335"/>
      <c r="Y10" s="273"/>
      <c r="Z10" s="273"/>
      <c r="AA10" s="272"/>
      <c r="AB10" s="642"/>
      <c r="AC10" s="272"/>
      <c r="AD10" s="634"/>
      <c r="AE10" s="713"/>
      <c r="AF10" s="211"/>
    </row>
    <row r="11" spans="2:33" s="112" customFormat="1" ht="15" customHeight="1" x14ac:dyDescent="0.25">
      <c r="B11" s="265"/>
      <c r="C11" s="265"/>
      <c r="D11" s="276"/>
      <c r="E11" s="277"/>
      <c r="F11" s="276"/>
      <c r="G11" s="276"/>
      <c r="H11" s="276"/>
      <c r="I11" s="277"/>
      <c r="J11" s="276"/>
      <c r="K11" s="276"/>
      <c r="L11" s="276"/>
      <c r="M11" s="277"/>
      <c r="N11" s="276"/>
      <c r="O11" s="276"/>
      <c r="P11" s="235"/>
      <c r="Q11" s="235"/>
      <c r="R11" s="235"/>
      <c r="S11" s="235"/>
      <c r="T11" s="234"/>
      <c r="U11" s="234"/>
      <c r="V11" s="235"/>
      <c r="W11" s="235"/>
      <c r="X11" s="336"/>
      <c r="Y11" s="278"/>
      <c r="Z11" s="278"/>
      <c r="AA11" s="277"/>
      <c r="AB11" s="643"/>
      <c r="AC11" s="277"/>
      <c r="AD11" s="277"/>
      <c r="AE11" s="714"/>
      <c r="AF11" s="211"/>
    </row>
    <row r="12" spans="2:33" s="112" customFormat="1" ht="15" customHeight="1" x14ac:dyDescent="0.25">
      <c r="B12" s="13" t="s">
        <v>2</v>
      </c>
      <c r="C12" s="84"/>
      <c r="D12" s="206"/>
      <c r="E12" s="207"/>
      <c r="F12" s="206"/>
      <c r="G12" s="206"/>
      <c r="H12" s="206"/>
      <c r="I12" s="207"/>
      <c r="J12" s="206"/>
      <c r="K12" s="206"/>
      <c r="L12" s="206"/>
      <c r="M12" s="207"/>
      <c r="N12" s="206"/>
      <c r="O12" s="206"/>
      <c r="P12" s="208"/>
      <c r="Q12" s="208"/>
      <c r="R12" s="208"/>
      <c r="S12" s="208"/>
      <c r="T12" s="231">
        <f>V12*V6</f>
        <v>0</v>
      </c>
      <c r="U12" s="209"/>
      <c r="V12" s="188"/>
      <c r="W12" s="208"/>
      <c r="X12" s="337">
        <f>V12/$V$3</f>
        <v>0</v>
      </c>
      <c r="Y12" s="167"/>
      <c r="Z12" s="241">
        <f>V12/$V$601</f>
        <v>0</v>
      </c>
      <c r="AA12" s="635">
        <v>1</v>
      </c>
      <c r="AB12" s="638">
        <f>+W12+V12*AA12</f>
        <v>0</v>
      </c>
      <c r="AC12" s="636" t="e">
        <f>+AD12/V12</f>
        <v>#DIV/0!</v>
      </c>
      <c r="AD12" s="292">
        <f>+V12-AB12</f>
        <v>0</v>
      </c>
      <c r="AE12" s="613"/>
      <c r="AF12" s="211"/>
    </row>
    <row r="13" spans="2:33" s="112" customFormat="1" ht="15" customHeight="1" thickBot="1" x14ac:dyDescent="0.3">
      <c r="B13" s="288" t="s">
        <v>95</v>
      </c>
      <c r="C13" s="84"/>
      <c r="D13" s="206"/>
      <c r="E13" s="207"/>
      <c r="F13" s="206"/>
      <c r="G13" s="206"/>
      <c r="H13" s="206"/>
      <c r="I13" s="207"/>
      <c r="J13" s="206"/>
      <c r="K13" s="206"/>
      <c r="L13" s="206"/>
      <c r="M13" s="207"/>
      <c r="N13" s="206"/>
      <c r="O13" s="206"/>
      <c r="P13" s="208"/>
      <c r="Q13" s="208"/>
      <c r="R13" s="208"/>
      <c r="S13" s="208"/>
      <c r="T13" s="133">
        <f>T12</f>
        <v>0</v>
      </c>
      <c r="U13" s="209"/>
      <c r="V13" s="133">
        <f>V12</f>
        <v>0</v>
      </c>
      <c r="W13" s="134"/>
      <c r="X13" s="338">
        <f>X12</f>
        <v>0</v>
      </c>
      <c r="Y13" s="240"/>
      <c r="Z13" s="286">
        <f>V13/$V$601</f>
        <v>0</v>
      </c>
      <c r="AA13" s="635">
        <v>1</v>
      </c>
      <c r="AB13" s="644"/>
      <c r="AC13" s="635"/>
      <c r="AD13" s="207"/>
      <c r="AE13" s="613"/>
      <c r="AF13" s="211"/>
    </row>
    <row r="14" spans="2:33" s="112" customFormat="1" ht="15" customHeight="1" x14ac:dyDescent="0.25">
      <c r="B14" s="212"/>
      <c r="C14" s="262"/>
      <c r="D14" s="263"/>
      <c r="E14" s="97"/>
      <c r="F14" s="263"/>
      <c r="G14" s="263"/>
      <c r="H14" s="263"/>
      <c r="I14" s="97"/>
      <c r="J14" s="263"/>
      <c r="K14" s="263"/>
      <c r="L14" s="263"/>
      <c r="M14" s="97"/>
      <c r="N14" s="263"/>
      <c r="O14" s="263"/>
      <c r="P14" s="233"/>
      <c r="Q14" s="233"/>
      <c r="R14" s="233"/>
      <c r="S14" s="233"/>
      <c r="T14" s="232"/>
      <c r="U14" s="232"/>
      <c r="V14" s="233"/>
      <c r="W14" s="233"/>
      <c r="X14" s="334"/>
      <c r="Y14" s="264"/>
      <c r="Z14" s="264"/>
      <c r="AA14" s="97"/>
      <c r="AB14" s="641"/>
      <c r="AC14" s="97"/>
      <c r="AD14" s="97"/>
      <c r="AE14" s="712"/>
      <c r="AF14" s="211"/>
    </row>
    <row r="15" spans="2:33" s="112" customFormat="1" x14ac:dyDescent="0.25">
      <c r="B15" s="269" t="s">
        <v>88</v>
      </c>
      <c r="C15" s="270"/>
      <c r="D15" s="271"/>
      <c r="E15" s="272"/>
      <c r="F15" s="272"/>
      <c r="G15" s="272"/>
      <c r="H15" s="271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335"/>
      <c r="Y15" s="273"/>
      <c r="Z15" s="273"/>
      <c r="AA15" s="272"/>
      <c r="AB15" s="642"/>
      <c r="AC15" s="272"/>
      <c r="AD15" s="634"/>
      <c r="AE15" s="713"/>
      <c r="AF15" s="211"/>
    </row>
    <row r="16" spans="2:33" s="112" customFormat="1" ht="15" customHeight="1" x14ac:dyDescent="0.25">
      <c r="B16" s="14"/>
      <c r="C16" s="265"/>
      <c r="D16" s="276"/>
      <c r="E16" s="277"/>
      <c r="F16" s="276"/>
      <c r="G16" s="276"/>
      <c r="H16" s="276"/>
      <c r="I16" s="277"/>
      <c r="J16" s="276"/>
      <c r="K16" s="276"/>
      <c r="L16" s="276"/>
      <c r="M16" s="277"/>
      <c r="N16" s="276"/>
      <c r="O16" s="276"/>
      <c r="P16" s="235"/>
      <c r="Q16" s="235"/>
      <c r="R16" s="235"/>
      <c r="S16" s="235"/>
      <c r="T16" s="234"/>
      <c r="U16" s="234"/>
      <c r="V16" s="235"/>
      <c r="W16" s="235"/>
      <c r="X16" s="336"/>
      <c r="Y16" s="278"/>
      <c r="Z16" s="278"/>
      <c r="AA16" s="277"/>
      <c r="AB16" s="643"/>
      <c r="AC16" s="277"/>
      <c r="AD16" s="277"/>
      <c r="AE16" s="714"/>
      <c r="AF16" s="211"/>
    </row>
    <row r="17" spans="1:33" s="112" customFormat="1" ht="15" customHeight="1" x14ac:dyDescent="0.25">
      <c r="B17" s="217" t="s">
        <v>97</v>
      </c>
      <c r="C17" s="218"/>
      <c r="D17" s="219"/>
      <c r="E17" s="220"/>
      <c r="F17" s="219"/>
      <c r="G17" s="219"/>
      <c r="H17" s="219"/>
      <c r="I17" s="220"/>
      <c r="J17" s="219"/>
      <c r="K17" s="219"/>
      <c r="L17" s="219"/>
      <c r="M17" s="220"/>
      <c r="N17" s="219"/>
      <c r="O17" s="219"/>
      <c r="P17" s="221"/>
      <c r="Q17" s="221"/>
      <c r="R17" s="221"/>
      <c r="S17" s="221"/>
      <c r="T17" s="222"/>
      <c r="U17" s="222"/>
      <c r="V17" s="221"/>
      <c r="W17" s="221"/>
      <c r="X17" s="339"/>
      <c r="Y17" s="223"/>
      <c r="Z17" s="223"/>
      <c r="AA17" s="220"/>
      <c r="AB17" s="645"/>
      <c r="AC17" s="220"/>
      <c r="AD17" s="220"/>
      <c r="AE17" s="715"/>
      <c r="AF17" s="211"/>
    </row>
    <row r="18" spans="1:33" s="112" customFormat="1" ht="15" customHeight="1" x14ac:dyDescent="0.25">
      <c r="B18" s="122" t="s">
        <v>49</v>
      </c>
      <c r="C18" s="84"/>
      <c r="D18" s="206"/>
      <c r="E18" s="207"/>
      <c r="F18" s="206"/>
      <c r="G18" s="206"/>
      <c r="H18" s="206"/>
      <c r="I18" s="207"/>
      <c r="J18" s="206"/>
      <c r="K18" s="206"/>
      <c r="L18" s="206"/>
      <c r="M18" s="207"/>
      <c r="N18" s="206"/>
      <c r="O18" s="206"/>
      <c r="P18" s="208"/>
      <c r="Q18" s="208"/>
      <c r="R18" s="208"/>
      <c r="S18" s="208"/>
      <c r="T18" s="209"/>
      <c r="U18" s="209"/>
      <c r="V18" s="208"/>
      <c r="W18" s="208"/>
      <c r="X18" s="340"/>
      <c r="Y18" s="210"/>
      <c r="Z18" s="210"/>
      <c r="AA18" s="207"/>
      <c r="AB18" s="644"/>
      <c r="AC18" s="207"/>
      <c r="AD18" s="207"/>
      <c r="AE18" s="613" t="s">
        <v>135</v>
      </c>
      <c r="AF18" s="211"/>
    </row>
    <row r="19" spans="1:33" s="112" customFormat="1" ht="15" customHeight="1" x14ac:dyDescent="0.25">
      <c r="B19" s="122"/>
      <c r="C19" s="84"/>
      <c r="D19" s="206"/>
      <c r="E19" s="207"/>
      <c r="F19" s="206"/>
      <c r="G19" s="206"/>
      <c r="H19" s="206" t="s">
        <v>135</v>
      </c>
      <c r="I19" s="207"/>
      <c r="J19" s="206"/>
      <c r="K19" s="206"/>
      <c r="L19" s="206"/>
      <c r="M19" s="207"/>
      <c r="N19" s="206"/>
      <c r="O19" s="206"/>
      <c r="P19" s="208"/>
      <c r="Q19" s="208"/>
      <c r="R19" s="208"/>
      <c r="S19" s="208"/>
      <c r="T19" s="209"/>
      <c r="U19" s="209"/>
      <c r="V19" s="208"/>
      <c r="W19" s="208"/>
      <c r="X19" s="340"/>
      <c r="Y19" s="210"/>
      <c r="Z19" s="210"/>
      <c r="AA19" s="207"/>
      <c r="AB19" s="644"/>
      <c r="AC19" s="207"/>
      <c r="AD19" s="207"/>
      <c r="AE19" s="613"/>
      <c r="AF19" s="211"/>
    </row>
    <row r="20" spans="1:33" s="112" customFormat="1" ht="15" customHeight="1" x14ac:dyDescent="0.25">
      <c r="B20" s="216" t="s">
        <v>139</v>
      </c>
      <c r="C20" s="224"/>
      <c r="D20" s="225"/>
      <c r="E20" s="226"/>
      <c r="F20" s="225"/>
      <c r="G20" s="225"/>
      <c r="H20" s="225"/>
      <c r="I20" s="226"/>
      <c r="J20" s="225"/>
      <c r="K20" s="225"/>
      <c r="L20" s="225"/>
      <c r="M20" s="226"/>
      <c r="N20" s="225"/>
      <c r="O20" s="225"/>
      <c r="P20" s="227"/>
      <c r="Q20" s="227"/>
      <c r="R20" s="227"/>
      <c r="S20" s="227"/>
      <c r="T20" s="228"/>
      <c r="U20" s="228"/>
      <c r="V20" s="227"/>
      <c r="W20" s="227"/>
      <c r="X20" s="341"/>
      <c r="Y20" s="229"/>
      <c r="Z20" s="229"/>
      <c r="AA20" s="226"/>
      <c r="AB20" s="646"/>
      <c r="AC20" s="226"/>
      <c r="AD20" s="226"/>
      <c r="AE20" s="716"/>
      <c r="AF20" s="211"/>
    </row>
    <row r="21" spans="1:33" s="112" customFormat="1" ht="15" customHeight="1" x14ac:dyDescent="0.25">
      <c r="B21" s="303"/>
      <c r="C21" s="84"/>
      <c r="D21" s="206"/>
      <c r="E21" s="207"/>
      <c r="F21" s="206"/>
      <c r="G21" s="206"/>
      <c r="H21" s="206"/>
      <c r="I21" s="207"/>
      <c r="J21" s="206"/>
      <c r="K21" s="206"/>
      <c r="L21" s="206"/>
      <c r="M21" s="207"/>
      <c r="N21" s="206"/>
      <c r="O21" s="206"/>
      <c r="P21" s="208"/>
      <c r="Q21" s="208"/>
      <c r="R21" s="208"/>
      <c r="S21" s="208"/>
      <c r="T21" s="274"/>
      <c r="U21" s="209"/>
      <c r="V21" s="275"/>
      <c r="W21" s="275"/>
      <c r="X21" s="342"/>
      <c r="Y21" s="284"/>
      <c r="Z21" s="284"/>
      <c r="AA21" s="207"/>
      <c r="AB21" s="644"/>
      <c r="AC21" s="207"/>
      <c r="AD21" s="207"/>
      <c r="AE21" s="613"/>
      <c r="AF21" s="211"/>
    </row>
    <row r="22" spans="1:33" s="112" customFormat="1" ht="15" customHeight="1" x14ac:dyDescent="0.25">
      <c r="B22" s="470" t="s">
        <v>134</v>
      </c>
      <c r="C22" s="318"/>
      <c r="D22" s="324"/>
      <c r="E22" s="317"/>
      <c r="F22" s="322"/>
      <c r="G22" s="317"/>
      <c r="H22" s="324"/>
      <c r="I22" s="317"/>
      <c r="J22" s="322"/>
      <c r="K22" s="322"/>
      <c r="L22" s="323"/>
      <c r="M22" s="323"/>
      <c r="N22" s="323"/>
      <c r="O22" s="323"/>
      <c r="P22" s="322"/>
      <c r="Q22" s="322"/>
      <c r="R22" s="322"/>
      <c r="S22" s="322"/>
      <c r="T22" s="109"/>
      <c r="U22" s="317"/>
      <c r="V22" s="109"/>
      <c r="W22" s="109"/>
      <c r="X22" s="348"/>
      <c r="Y22" s="128"/>
      <c r="Z22" s="128"/>
      <c r="AA22" s="317"/>
      <c r="AB22" s="647"/>
      <c r="AC22" s="317"/>
      <c r="AD22" s="317"/>
      <c r="AE22" s="607"/>
      <c r="AF22" s="211"/>
    </row>
    <row r="23" spans="1:33" s="112" customFormat="1" ht="15" customHeight="1" x14ac:dyDescent="0.25">
      <c r="B23" s="178" t="s">
        <v>412</v>
      </c>
      <c r="C23" s="84"/>
      <c r="D23" s="193" t="s">
        <v>50</v>
      </c>
      <c r="E23" s="100"/>
      <c r="F23" s="188">
        <v>1</v>
      </c>
      <c r="G23" s="94"/>
      <c r="H23" s="193" t="s">
        <v>51</v>
      </c>
      <c r="I23" s="100"/>
      <c r="J23" s="188">
        <v>1</v>
      </c>
      <c r="K23" s="164"/>
      <c r="L23" s="193" t="s">
        <v>137</v>
      </c>
      <c r="M23" s="180"/>
      <c r="N23" s="192">
        <v>6</v>
      </c>
      <c r="O23" s="192"/>
      <c r="P23" s="188">
        <f>+'Staff Detail'!B37</f>
        <v>383.56164383561645</v>
      </c>
      <c r="Q23" s="191"/>
      <c r="R23" s="305">
        <f t="shared" ref="R23:R31" si="0">P23/$V$6</f>
        <v>109.58904109589041</v>
      </c>
      <c r="S23" s="191"/>
      <c r="T23" s="181">
        <f t="shared" ref="T23:T31" si="1">IF(N23=0,IF(J23=0,F23*P23,F23*J23*P23),F23*J23*N23*P23)</f>
        <v>2301.3698630136987</v>
      </c>
      <c r="U23" s="180"/>
      <c r="V23" s="319">
        <f>T23/$V$6</f>
        <v>657.53424657534254</v>
      </c>
      <c r="W23" s="182"/>
      <c r="X23" s="337">
        <f t="shared" ref="X23:X31" si="2">V23/$V$3</f>
        <v>2.4472682895410226E-4</v>
      </c>
      <c r="Y23" s="167"/>
      <c r="Z23" s="241">
        <f>V23/$V$601</f>
        <v>3.5458661773038745E-4</v>
      </c>
      <c r="AA23" s="635">
        <v>1</v>
      </c>
      <c r="AB23" s="638">
        <f t="shared" ref="AB23:AB31" si="3">+W23+V23*AA23</f>
        <v>657.53424657534254</v>
      </c>
      <c r="AC23" s="636">
        <f t="shared" ref="AC23:AC31" si="4">+AD23/V23</f>
        <v>0</v>
      </c>
      <c r="AD23" s="292">
        <f t="shared" ref="AD23:AD31" si="5">+V23-AB23</f>
        <v>0</v>
      </c>
      <c r="AE23" s="607" t="s">
        <v>99</v>
      </c>
      <c r="AF23" s="211"/>
    </row>
    <row r="24" spans="1:33" s="112" customFormat="1" ht="15" customHeight="1" x14ac:dyDescent="0.25">
      <c r="B24" s="178" t="s">
        <v>260</v>
      </c>
      <c r="C24" s="318"/>
      <c r="D24" s="193" t="s">
        <v>50</v>
      </c>
      <c r="E24" s="100"/>
      <c r="F24" s="321">
        <v>1</v>
      </c>
      <c r="G24" s="94"/>
      <c r="H24" s="193" t="s">
        <v>51</v>
      </c>
      <c r="I24" s="100"/>
      <c r="J24" s="321">
        <v>2</v>
      </c>
      <c r="K24" s="164"/>
      <c r="L24" s="193" t="s">
        <v>137</v>
      </c>
      <c r="M24" s="317"/>
      <c r="N24" s="323">
        <v>2</v>
      </c>
      <c r="O24" s="323"/>
      <c r="P24" s="321">
        <f>+'Staff Detail'!B23+'Staff Detail'!B25</f>
        <v>526.47846575342464</v>
      </c>
      <c r="Q24" s="322"/>
      <c r="R24" s="327">
        <f t="shared" si="0"/>
        <v>150.42241878669276</v>
      </c>
      <c r="S24" s="322"/>
      <c r="T24" s="319">
        <f t="shared" si="1"/>
        <v>2105.9138630136986</v>
      </c>
      <c r="U24" s="317"/>
      <c r="V24" s="319">
        <f>T24/$V$6</f>
        <v>601.68967514677104</v>
      </c>
      <c r="W24" s="320"/>
      <c r="X24" s="337">
        <f t="shared" si="2"/>
        <v>2.239421094490792E-4</v>
      </c>
      <c r="Y24" s="167"/>
      <c r="Z24" s="326">
        <f>V24/$V$601</f>
        <v>3.2447147497608337E-4</v>
      </c>
      <c r="AA24" s="635">
        <v>1</v>
      </c>
      <c r="AB24" s="638">
        <f t="shared" si="3"/>
        <v>601.68967514677104</v>
      </c>
      <c r="AC24" s="636">
        <f t="shared" si="4"/>
        <v>0</v>
      </c>
      <c r="AD24" s="292">
        <f t="shared" si="5"/>
        <v>0</v>
      </c>
      <c r="AE24" s="607" t="s">
        <v>99</v>
      </c>
      <c r="AF24" s="211"/>
    </row>
    <row r="25" spans="1:33" s="491" customFormat="1" ht="15" customHeight="1" x14ac:dyDescent="0.25">
      <c r="B25" s="178" t="s">
        <v>418</v>
      </c>
      <c r="C25" s="478"/>
      <c r="D25" s="479" t="s">
        <v>50</v>
      </c>
      <c r="E25" s="482"/>
      <c r="F25" s="481">
        <v>1</v>
      </c>
      <c r="G25" s="659"/>
      <c r="H25" s="479" t="s">
        <v>51</v>
      </c>
      <c r="I25" s="482"/>
      <c r="J25" s="481">
        <v>1</v>
      </c>
      <c r="K25" s="541"/>
      <c r="L25" s="479" t="s">
        <v>137</v>
      </c>
      <c r="M25" s="480"/>
      <c r="N25" s="478">
        <v>6</v>
      </c>
      <c r="O25" s="478"/>
      <c r="P25" s="481">
        <f>+'Staff Detail'!B38</f>
        <v>383.56164383561645</v>
      </c>
      <c r="Q25" s="483"/>
      <c r="R25" s="327">
        <f t="shared" si="0"/>
        <v>109.58904109589041</v>
      </c>
      <c r="S25" s="483"/>
      <c r="T25" s="319">
        <f t="shared" si="1"/>
        <v>2301.3698630136987</v>
      </c>
      <c r="U25" s="480"/>
      <c r="V25" s="319">
        <f>T25/$V$6</f>
        <v>657.53424657534254</v>
      </c>
      <c r="W25" s="486"/>
      <c r="X25" s="337">
        <f t="shared" si="2"/>
        <v>2.4472682895410226E-4</v>
      </c>
      <c r="Y25" s="488"/>
      <c r="Z25" s="326">
        <f>V25/$V$601</f>
        <v>3.5458661773038745E-4</v>
      </c>
      <c r="AA25" s="635">
        <v>1</v>
      </c>
      <c r="AB25" s="638">
        <f t="shared" si="3"/>
        <v>657.53424657534254</v>
      </c>
      <c r="AC25" s="636">
        <f t="shared" si="4"/>
        <v>0</v>
      </c>
      <c r="AD25" s="292">
        <f t="shared" si="5"/>
        <v>0</v>
      </c>
      <c r="AE25" s="607" t="s">
        <v>99</v>
      </c>
      <c r="AF25" s="490"/>
    </row>
    <row r="26" spans="1:33" s="112" customFormat="1" ht="15" customHeight="1" x14ac:dyDescent="0.25">
      <c r="B26" s="178" t="s">
        <v>58</v>
      </c>
      <c r="C26" s="84"/>
      <c r="D26" s="193" t="s">
        <v>50</v>
      </c>
      <c r="E26" s="180"/>
      <c r="F26" s="188">
        <v>1</v>
      </c>
      <c r="G26" s="180"/>
      <c r="H26" s="193" t="s">
        <v>51</v>
      </c>
      <c r="I26" s="180"/>
      <c r="J26" s="188">
        <f>+J24</f>
        <v>2</v>
      </c>
      <c r="K26" s="191"/>
      <c r="L26" s="193"/>
      <c r="M26" s="180"/>
      <c r="N26" s="192"/>
      <c r="O26" s="192"/>
      <c r="P26" s="188">
        <f>+'Staff Detail'!B23+'Staff Detail'!B31</f>
        <v>31</v>
      </c>
      <c r="Q26" s="191"/>
      <c r="R26" s="305">
        <f t="shared" si="0"/>
        <v>8.8571428571428577</v>
      </c>
      <c r="S26" s="191"/>
      <c r="T26" s="181">
        <f t="shared" si="1"/>
        <v>62</v>
      </c>
      <c r="U26" s="180"/>
      <c r="V26" s="319">
        <f t="shared" ref="V26:V31" si="6">T26/$V$6</f>
        <v>17.714285714285715</v>
      </c>
      <c r="W26" s="182"/>
      <c r="X26" s="337">
        <f t="shared" si="2"/>
        <v>6.5930573086087306E-6</v>
      </c>
      <c r="Y26" s="167"/>
      <c r="Z26" s="326">
        <f>V26/$V$601</f>
        <v>9.5527323324269842E-6</v>
      </c>
      <c r="AA26" s="635">
        <v>1</v>
      </c>
      <c r="AB26" s="638">
        <f t="shared" si="3"/>
        <v>17.714285714285715</v>
      </c>
      <c r="AC26" s="636">
        <f t="shared" si="4"/>
        <v>0</v>
      </c>
      <c r="AD26" s="292">
        <f t="shared" si="5"/>
        <v>0</v>
      </c>
      <c r="AE26" s="607" t="s">
        <v>100</v>
      </c>
      <c r="AF26" s="211"/>
    </row>
    <row r="27" spans="1:33" s="112" customFormat="1" ht="15" customHeight="1" x14ac:dyDescent="0.25">
      <c r="B27" s="178" t="s">
        <v>444</v>
      </c>
      <c r="C27" s="318"/>
      <c r="D27" s="193" t="s">
        <v>50</v>
      </c>
      <c r="E27" s="317"/>
      <c r="F27" s="321">
        <f>+F24</f>
        <v>1</v>
      </c>
      <c r="G27" s="317"/>
      <c r="H27" s="193" t="s">
        <v>51</v>
      </c>
      <c r="I27" s="100"/>
      <c r="J27" s="321">
        <f>+J24</f>
        <v>2</v>
      </c>
      <c r="K27" s="322"/>
      <c r="L27" s="193" t="str">
        <f>+L30</f>
        <v># of trips</v>
      </c>
      <c r="M27" s="317"/>
      <c r="N27" s="322">
        <v>2</v>
      </c>
      <c r="O27" s="323"/>
      <c r="P27" s="321">
        <f>+'Staff Detail'!B48</f>
        <v>850</v>
      </c>
      <c r="Q27" s="322"/>
      <c r="R27" s="327">
        <f t="shared" si="0"/>
        <v>242.85714285714286</v>
      </c>
      <c r="S27" s="322"/>
      <c r="T27" s="319">
        <f t="shared" si="1"/>
        <v>3400</v>
      </c>
      <c r="U27" s="317"/>
      <c r="V27" s="319">
        <f t="shared" si="6"/>
        <v>971.42857142857144</v>
      </c>
      <c r="W27" s="320"/>
      <c r="X27" s="337">
        <f t="shared" si="2"/>
        <v>3.6155475563338197E-4</v>
      </c>
      <c r="Y27" s="167"/>
      <c r="Z27" s="326">
        <f>V27/$V$601</f>
        <v>5.2385951500406045E-4</v>
      </c>
      <c r="AA27" s="635">
        <v>1</v>
      </c>
      <c r="AB27" s="638">
        <f t="shared" si="3"/>
        <v>971.42857142857144</v>
      </c>
      <c r="AC27" s="636">
        <f t="shared" si="4"/>
        <v>0</v>
      </c>
      <c r="AD27" s="292">
        <f t="shared" si="5"/>
        <v>0</v>
      </c>
      <c r="AE27" s="607" t="s">
        <v>100</v>
      </c>
      <c r="AF27" s="211"/>
    </row>
    <row r="28" spans="1:33" s="112" customFormat="1" ht="15" customHeight="1" x14ac:dyDescent="0.25">
      <c r="A28" s="455"/>
      <c r="B28" s="126" t="s">
        <v>240</v>
      </c>
      <c r="C28" s="801"/>
      <c r="D28" s="802" t="s">
        <v>50</v>
      </c>
      <c r="E28" s="803"/>
      <c r="F28" s="804">
        <v>4</v>
      </c>
      <c r="G28" s="805"/>
      <c r="H28" s="802" t="s">
        <v>51</v>
      </c>
      <c r="I28" s="803"/>
      <c r="J28" s="806">
        <v>6.25E-2</v>
      </c>
      <c r="K28" s="807"/>
      <c r="L28" s="802"/>
      <c r="M28" s="805"/>
      <c r="N28" s="808"/>
      <c r="O28" s="808"/>
      <c r="P28" s="809">
        <v>90</v>
      </c>
      <c r="Q28" s="807"/>
      <c r="R28" s="810">
        <v>25.6</v>
      </c>
      <c r="S28" s="807"/>
      <c r="T28" s="811">
        <v>89</v>
      </c>
      <c r="U28" s="805"/>
      <c r="V28" s="811">
        <v>25</v>
      </c>
      <c r="W28" s="811"/>
      <c r="X28" s="812">
        <v>0</v>
      </c>
      <c r="Y28" s="813"/>
      <c r="Z28" s="814">
        <v>0</v>
      </c>
      <c r="AA28" s="815">
        <v>1</v>
      </c>
      <c r="AB28" s="816">
        <v>25</v>
      </c>
      <c r="AC28" s="817">
        <v>0</v>
      </c>
      <c r="AD28" s="818">
        <v>0</v>
      </c>
      <c r="AE28" s="819" t="s">
        <v>99</v>
      </c>
      <c r="AF28" s="820"/>
      <c r="AG28" s="455"/>
    </row>
    <row r="29" spans="1:33" s="112" customFormat="1" ht="15" customHeight="1" x14ac:dyDescent="0.25">
      <c r="B29" s="178" t="s">
        <v>393</v>
      </c>
      <c r="C29" s="84"/>
      <c r="D29" s="193" t="s">
        <v>50</v>
      </c>
      <c r="E29" s="180"/>
      <c r="F29" s="188">
        <v>1</v>
      </c>
      <c r="G29" s="180"/>
      <c r="H29" s="193" t="s">
        <v>261</v>
      </c>
      <c r="I29" s="100"/>
      <c r="J29" s="321">
        <v>2</v>
      </c>
      <c r="K29" s="191"/>
      <c r="L29" s="193" t="s">
        <v>263</v>
      </c>
      <c r="M29" s="192"/>
      <c r="N29" s="669"/>
      <c r="O29" s="192"/>
      <c r="P29" s="188">
        <v>750</v>
      </c>
      <c r="Q29" s="191"/>
      <c r="R29" s="305">
        <f t="shared" si="0"/>
        <v>214.28571428571428</v>
      </c>
      <c r="S29" s="191"/>
      <c r="T29" s="181">
        <f t="shared" si="1"/>
        <v>1500</v>
      </c>
      <c r="U29" s="180"/>
      <c r="V29" s="319">
        <f t="shared" si="6"/>
        <v>428.57142857142856</v>
      </c>
      <c r="W29" s="182"/>
      <c r="X29" s="337">
        <f t="shared" si="2"/>
        <v>1.5950945101472734E-4</v>
      </c>
      <c r="Y29" s="167"/>
      <c r="Z29" s="241">
        <f>V29/$V$601</f>
        <v>2.3111449191355607E-4</v>
      </c>
      <c r="AA29" s="635">
        <v>1</v>
      </c>
      <c r="AB29" s="638">
        <f t="shared" si="3"/>
        <v>428.57142857142856</v>
      </c>
      <c r="AC29" s="636">
        <f t="shared" si="4"/>
        <v>0</v>
      </c>
      <c r="AD29" s="292">
        <f t="shared" si="5"/>
        <v>0</v>
      </c>
      <c r="AE29" s="607" t="s">
        <v>102</v>
      </c>
      <c r="AF29" s="211"/>
    </row>
    <row r="30" spans="1:33" s="112" customFormat="1" ht="15" customHeight="1" x14ac:dyDescent="0.25">
      <c r="B30" s="178" t="s">
        <v>394</v>
      </c>
      <c r="C30" s="318"/>
      <c r="D30" s="193" t="s">
        <v>98</v>
      </c>
      <c r="E30" s="317"/>
      <c r="F30" s="321">
        <v>1</v>
      </c>
      <c r="G30" s="317"/>
      <c r="H30" s="193" t="s">
        <v>54</v>
      </c>
      <c r="I30" s="100"/>
      <c r="J30" s="321">
        <v>53</v>
      </c>
      <c r="K30" s="164"/>
      <c r="L30" s="193" t="s">
        <v>261</v>
      </c>
      <c r="M30" s="163"/>
      <c r="N30" s="321">
        <v>2</v>
      </c>
      <c r="O30" s="165"/>
      <c r="P30" s="321">
        <v>3.3</v>
      </c>
      <c r="Q30" s="322"/>
      <c r="R30" s="327">
        <f t="shared" si="0"/>
        <v>0.94285714285714284</v>
      </c>
      <c r="S30" s="322"/>
      <c r="T30" s="319">
        <f t="shared" si="1"/>
        <v>349.79999999999995</v>
      </c>
      <c r="U30" s="317"/>
      <c r="V30" s="319">
        <f t="shared" ref="V30" si="7">T30/$V$6</f>
        <v>99.942857142857136</v>
      </c>
      <c r="W30" s="320"/>
      <c r="X30" s="337">
        <f t="shared" si="2"/>
        <v>3.7197603976634415E-5</v>
      </c>
      <c r="Y30" s="167"/>
      <c r="Z30" s="326">
        <f>V30/$V$601</f>
        <v>5.3895899514241269E-5</v>
      </c>
      <c r="AA30" s="635">
        <v>1</v>
      </c>
      <c r="AB30" s="638">
        <f t="shared" si="3"/>
        <v>99.942857142857136</v>
      </c>
      <c r="AC30" s="636">
        <f t="shared" si="4"/>
        <v>0</v>
      </c>
      <c r="AD30" s="292">
        <f t="shared" si="5"/>
        <v>0</v>
      </c>
      <c r="AE30" s="611" t="s">
        <v>55</v>
      </c>
      <c r="AF30" s="211"/>
    </row>
    <row r="31" spans="1:33" s="112" customFormat="1" ht="15" customHeight="1" x14ac:dyDescent="0.25">
      <c r="B31" s="178" t="s">
        <v>395</v>
      </c>
      <c r="C31" s="84"/>
      <c r="D31" s="193" t="s">
        <v>98</v>
      </c>
      <c r="E31" s="180"/>
      <c r="F31" s="188">
        <v>1</v>
      </c>
      <c r="G31" s="180"/>
      <c r="H31" s="193" t="s">
        <v>54</v>
      </c>
      <c r="I31" s="100"/>
      <c r="J31" s="321">
        <v>11</v>
      </c>
      <c r="K31" s="164"/>
      <c r="L31" s="193" t="s">
        <v>51</v>
      </c>
      <c r="M31" s="163"/>
      <c r="N31" s="188">
        <v>6</v>
      </c>
      <c r="O31" s="165"/>
      <c r="P31" s="188">
        <v>3.3</v>
      </c>
      <c r="Q31" s="191"/>
      <c r="R31" s="305">
        <f t="shared" si="0"/>
        <v>0.94285714285714284</v>
      </c>
      <c r="S31" s="191"/>
      <c r="T31" s="181">
        <f t="shared" si="1"/>
        <v>217.79999999999998</v>
      </c>
      <c r="U31" s="180"/>
      <c r="V31" s="319">
        <f t="shared" si="6"/>
        <v>62.228571428571421</v>
      </c>
      <c r="W31" s="182"/>
      <c r="X31" s="337">
        <f t="shared" si="2"/>
        <v>2.3160772287338408E-5</v>
      </c>
      <c r="Y31" s="167"/>
      <c r="Z31" s="241">
        <f>V31/$V$601</f>
        <v>3.3557824225848337E-5</v>
      </c>
      <c r="AA31" s="635">
        <v>1</v>
      </c>
      <c r="AB31" s="638">
        <f t="shared" si="3"/>
        <v>62.228571428571421</v>
      </c>
      <c r="AC31" s="636">
        <f t="shared" si="4"/>
        <v>0</v>
      </c>
      <c r="AD31" s="292">
        <f t="shared" si="5"/>
        <v>0</v>
      </c>
      <c r="AE31" s="611" t="s">
        <v>55</v>
      </c>
      <c r="AF31" s="211"/>
    </row>
    <row r="32" spans="1:33" s="112" customFormat="1" ht="15" customHeight="1" thickBot="1" x14ac:dyDescent="0.3">
      <c r="A32" s="112">
        <v>1.1000000000000001</v>
      </c>
      <c r="B32" s="176" t="s">
        <v>96</v>
      </c>
      <c r="C32" s="84"/>
      <c r="D32" s="155"/>
      <c r="E32" s="180"/>
      <c r="F32" s="191"/>
      <c r="G32" s="180"/>
      <c r="H32" s="155"/>
      <c r="I32" s="180"/>
      <c r="J32" s="162"/>
      <c r="K32" s="191"/>
      <c r="L32" s="192"/>
      <c r="M32" s="192"/>
      <c r="N32" s="166"/>
      <c r="O32" s="192"/>
      <c r="P32" s="191"/>
      <c r="Q32" s="191"/>
      <c r="R32" s="191"/>
      <c r="S32" s="191"/>
      <c r="T32" s="133">
        <f>SUM(T23:T31)</f>
        <v>12327.253589041095</v>
      </c>
      <c r="U32" s="84"/>
      <c r="V32" s="133">
        <f>SUM(V23:V31)</f>
        <v>3521.6438825831701</v>
      </c>
      <c r="W32" s="134"/>
      <c r="X32" s="338">
        <f>SUM(X22:X31)</f>
        <v>1.3014114075779746E-3</v>
      </c>
      <c r="Y32" s="240"/>
      <c r="Z32" s="286">
        <f>V32/$V$601</f>
        <v>1.8991068521219485E-3</v>
      </c>
      <c r="AA32" s="668"/>
      <c r="AB32" s="133">
        <f>SUM(AB23:AB31)</f>
        <v>3521.6438825831701</v>
      </c>
      <c r="AC32" s="637"/>
      <c r="AD32" s="133">
        <f>SUM(AD23:AD31)</f>
        <v>0</v>
      </c>
      <c r="AE32" s="607"/>
      <c r="AF32" s="211"/>
    </row>
    <row r="33" spans="1:32" s="112" customFormat="1" ht="15" customHeight="1" x14ac:dyDescent="0.25">
      <c r="B33" s="177"/>
      <c r="C33" s="318"/>
      <c r="D33" s="324"/>
      <c r="E33" s="317"/>
      <c r="F33" s="322"/>
      <c r="G33" s="317"/>
      <c r="H33" s="324"/>
      <c r="I33" s="317"/>
      <c r="J33" s="162"/>
      <c r="K33" s="322"/>
      <c r="L33" s="323"/>
      <c r="M33" s="323"/>
      <c r="N33" s="166"/>
      <c r="O33" s="323"/>
      <c r="P33" s="322"/>
      <c r="Q33" s="322"/>
      <c r="R33" s="322"/>
      <c r="S33" s="322"/>
      <c r="T33" s="302"/>
      <c r="U33" s="318"/>
      <c r="V33" s="302"/>
      <c r="W33" s="134"/>
      <c r="X33" s="344"/>
      <c r="Y33" s="240"/>
      <c r="Z33" s="290"/>
      <c r="AA33" s="94"/>
      <c r="AB33" s="648"/>
      <c r="AC33" s="94"/>
      <c r="AD33" s="94"/>
      <c r="AE33" s="607"/>
      <c r="AF33" s="211"/>
    </row>
    <row r="34" spans="1:32" s="112" customFormat="1" ht="15" customHeight="1" x14ac:dyDescent="0.25">
      <c r="B34" s="177" t="s">
        <v>135</v>
      </c>
      <c r="C34" s="318"/>
      <c r="D34" s="324"/>
      <c r="E34" s="317"/>
      <c r="F34" s="322"/>
      <c r="G34" s="317"/>
      <c r="H34" s="324"/>
      <c r="I34" s="317"/>
      <c r="J34" s="162"/>
      <c r="K34" s="322"/>
      <c r="L34" s="323"/>
      <c r="M34" s="323"/>
      <c r="N34" s="166"/>
      <c r="O34" s="323"/>
      <c r="P34" s="322"/>
      <c r="Q34" s="322"/>
      <c r="R34" s="322"/>
      <c r="S34" s="322"/>
      <c r="T34" s="302"/>
      <c r="U34" s="318"/>
      <c r="V34" s="302"/>
      <c r="W34" s="134"/>
      <c r="X34" s="344"/>
      <c r="Y34" s="240"/>
      <c r="Z34" s="290"/>
      <c r="AA34" s="94"/>
      <c r="AB34" s="648"/>
      <c r="AC34" s="94"/>
      <c r="AD34" s="94"/>
      <c r="AE34" s="607"/>
      <c r="AF34" s="211"/>
    </row>
    <row r="35" spans="1:32" s="112" customFormat="1" ht="15" customHeight="1" x14ac:dyDescent="0.25">
      <c r="B35" s="177" t="s">
        <v>442</v>
      </c>
      <c r="C35" s="318"/>
      <c r="D35" s="324"/>
      <c r="E35" s="100"/>
      <c r="F35" s="322"/>
      <c r="G35" s="94"/>
      <c r="H35" s="324"/>
      <c r="I35" s="100"/>
      <c r="J35" s="162"/>
      <c r="K35" s="164"/>
      <c r="L35" s="323"/>
      <c r="M35" s="323"/>
      <c r="N35" s="166"/>
      <c r="O35" s="323"/>
      <c r="P35" s="322"/>
      <c r="Q35" s="322"/>
      <c r="R35" s="322"/>
      <c r="S35" s="322"/>
      <c r="T35" s="302"/>
      <c r="U35" s="318"/>
      <c r="V35" s="302"/>
      <c r="W35" s="134"/>
      <c r="X35" s="344"/>
      <c r="Y35" s="240"/>
      <c r="Z35" s="290"/>
      <c r="AA35" s="94"/>
      <c r="AB35" s="648"/>
      <c r="AC35" s="94"/>
      <c r="AD35" s="94"/>
      <c r="AE35" s="607"/>
      <c r="AF35" s="211"/>
    </row>
    <row r="36" spans="1:32" s="112" customFormat="1" ht="15" customHeight="1" x14ac:dyDescent="0.25">
      <c r="B36" s="178" t="s">
        <v>441</v>
      </c>
      <c r="C36" s="318"/>
      <c r="D36" s="193" t="s">
        <v>50</v>
      </c>
      <c r="E36" s="100"/>
      <c r="F36" s="321">
        <v>1</v>
      </c>
      <c r="G36" s="94"/>
      <c r="H36" s="193" t="s">
        <v>51</v>
      </c>
      <c r="I36" s="100"/>
      <c r="J36" s="321">
        <v>1</v>
      </c>
      <c r="K36" s="164"/>
      <c r="L36" s="193"/>
      <c r="M36" s="317"/>
      <c r="N36" s="323"/>
      <c r="O36" s="323"/>
      <c r="P36" s="481">
        <f>+'Staff Detail'!C23+'Staff Detail'!B26</f>
        <v>320.96027397260275</v>
      </c>
      <c r="Q36" s="322"/>
      <c r="R36" s="484">
        <f t="shared" ref="R36:R44" si="8">P36/$V$6</f>
        <v>91.702935420743643</v>
      </c>
      <c r="S36" s="322"/>
      <c r="T36" s="319">
        <f t="shared" ref="T36:T44" si="9">IF(N36=0,IF(J36=0,F36*P36,F36*J36*P36),F36*J36*N36*P36)</f>
        <v>320.96027397260275</v>
      </c>
      <c r="U36" s="317"/>
      <c r="V36" s="319">
        <f t="shared" ref="V36:V44" si="10">T36/$V$6</f>
        <v>91.702935420743643</v>
      </c>
      <c r="W36" s="320"/>
      <c r="X36" s="337">
        <f t="shared" ref="X36:X44" si="11">V36/$V$3</f>
        <v>3.4130798065937568E-5</v>
      </c>
      <c r="Y36" s="167"/>
      <c r="Z36" s="326">
        <f t="shared" ref="Z36:Z45" si="12">V36/$V$601</f>
        <v>4.9452380429075889E-5</v>
      </c>
      <c r="AA36" s="635">
        <v>0.5</v>
      </c>
      <c r="AB36" s="638">
        <f t="shared" ref="AB36:AB44" si="13">+W36+V36*AA36</f>
        <v>45.851467710371821</v>
      </c>
      <c r="AC36" s="636">
        <f t="shared" ref="AC36:AC43" si="14">+AD36/V36</f>
        <v>0.5</v>
      </c>
      <c r="AD36" s="292">
        <f t="shared" ref="AD36:AD44" si="15">+V36-AB36</f>
        <v>45.851467710371821</v>
      </c>
      <c r="AE36" s="607" t="s">
        <v>99</v>
      </c>
      <c r="AF36" s="211"/>
    </row>
    <row r="37" spans="1:32" s="112" customFormat="1" ht="15" customHeight="1" x14ac:dyDescent="0.25">
      <c r="B37" s="178" t="s">
        <v>493</v>
      </c>
      <c r="C37" s="318"/>
      <c r="D37" s="193" t="s">
        <v>50</v>
      </c>
      <c r="E37" s="100"/>
      <c r="F37" s="606">
        <v>0</v>
      </c>
      <c r="G37" s="94"/>
      <c r="H37" s="193" t="s">
        <v>51</v>
      </c>
      <c r="I37" s="100"/>
      <c r="J37" s="321">
        <v>1</v>
      </c>
      <c r="K37" s="164"/>
      <c r="L37" s="193"/>
      <c r="M37" s="317"/>
      <c r="N37" s="323"/>
      <c r="O37" s="323"/>
      <c r="P37" s="481">
        <f>+'Staff Detail'!B9</f>
        <v>119.56</v>
      </c>
      <c r="Q37" s="322"/>
      <c r="R37" s="484">
        <f t="shared" si="8"/>
        <v>34.160000000000004</v>
      </c>
      <c r="S37" s="322"/>
      <c r="T37" s="319">
        <f t="shared" si="9"/>
        <v>0</v>
      </c>
      <c r="U37" s="317"/>
      <c r="V37" s="319">
        <f t="shared" si="10"/>
        <v>0</v>
      </c>
      <c r="W37" s="320"/>
      <c r="X37" s="337">
        <f t="shared" si="11"/>
        <v>0</v>
      </c>
      <c r="Y37" s="167"/>
      <c r="Z37" s="326">
        <f t="shared" si="12"/>
        <v>0</v>
      </c>
      <c r="AA37" s="635">
        <v>0</v>
      </c>
      <c r="AB37" s="638">
        <f t="shared" si="13"/>
        <v>0</v>
      </c>
      <c r="AC37" s="636" t="e">
        <f t="shared" si="14"/>
        <v>#DIV/0!</v>
      </c>
      <c r="AD37" s="292">
        <f t="shared" si="15"/>
        <v>0</v>
      </c>
      <c r="AE37" s="607" t="s">
        <v>99</v>
      </c>
      <c r="AF37" s="211"/>
    </row>
    <row r="38" spans="1:32" s="112" customFormat="1" ht="15" customHeight="1" x14ac:dyDescent="0.25">
      <c r="B38" s="178" t="s">
        <v>439</v>
      </c>
      <c r="C38" s="318"/>
      <c r="D38" s="193" t="s">
        <v>50</v>
      </c>
      <c r="E38" s="100"/>
      <c r="F38" s="321">
        <v>1</v>
      </c>
      <c r="G38" s="94"/>
      <c r="H38" s="193" t="s">
        <v>51</v>
      </c>
      <c r="I38" s="100"/>
      <c r="J38" s="321">
        <v>1</v>
      </c>
      <c r="K38" s="164"/>
      <c r="L38" s="193"/>
      <c r="M38" s="317"/>
      <c r="N38" s="323"/>
      <c r="O38" s="323"/>
      <c r="P38" s="481">
        <f>+'Staff Detail'!B8</f>
        <v>128.1</v>
      </c>
      <c r="Q38" s="322"/>
      <c r="R38" s="484">
        <f t="shared" si="8"/>
        <v>36.6</v>
      </c>
      <c r="S38" s="322"/>
      <c r="T38" s="319">
        <f t="shared" si="9"/>
        <v>128.1</v>
      </c>
      <c r="U38" s="317"/>
      <c r="V38" s="319">
        <f t="shared" si="10"/>
        <v>36.6</v>
      </c>
      <c r="W38" s="320"/>
      <c r="X38" s="337">
        <f t="shared" si="11"/>
        <v>1.3622107116657716E-5</v>
      </c>
      <c r="Y38" s="167"/>
      <c r="Z38" s="326">
        <f t="shared" si="12"/>
        <v>1.973717760941769E-5</v>
      </c>
      <c r="AA38" s="635">
        <v>1</v>
      </c>
      <c r="AB38" s="638">
        <f t="shared" si="13"/>
        <v>36.6</v>
      </c>
      <c r="AC38" s="636">
        <f t="shared" si="14"/>
        <v>0</v>
      </c>
      <c r="AD38" s="292">
        <f t="shared" si="15"/>
        <v>0</v>
      </c>
      <c r="AE38" s="607" t="s">
        <v>99</v>
      </c>
      <c r="AF38" s="211"/>
    </row>
    <row r="39" spans="1:32" s="112" customFormat="1" ht="15" customHeight="1" x14ac:dyDescent="0.25">
      <c r="B39" s="178" t="s">
        <v>494</v>
      </c>
      <c r="C39" s="318"/>
      <c r="D39" s="193" t="s">
        <v>50</v>
      </c>
      <c r="E39" s="100"/>
      <c r="F39" s="321">
        <v>1</v>
      </c>
      <c r="G39" s="94"/>
      <c r="H39" s="193" t="s">
        <v>51</v>
      </c>
      <c r="I39" s="100"/>
      <c r="J39" s="321">
        <v>1</v>
      </c>
      <c r="K39" s="164"/>
      <c r="L39" s="193"/>
      <c r="M39" s="317"/>
      <c r="N39" s="323"/>
      <c r="O39" s="323"/>
      <c r="P39" s="481">
        <f>+'Staff Detail'!B15</f>
        <v>119.56</v>
      </c>
      <c r="Q39" s="322"/>
      <c r="R39" s="484">
        <f t="shared" si="8"/>
        <v>34.160000000000004</v>
      </c>
      <c r="S39" s="322"/>
      <c r="T39" s="319">
        <f t="shared" si="9"/>
        <v>119.56</v>
      </c>
      <c r="U39" s="317"/>
      <c r="V39" s="319">
        <f t="shared" si="10"/>
        <v>34.160000000000004</v>
      </c>
      <c r="W39" s="320"/>
      <c r="X39" s="337">
        <f t="shared" si="11"/>
        <v>1.271396664221387E-5</v>
      </c>
      <c r="Y39" s="167"/>
      <c r="Z39" s="326">
        <f t="shared" si="12"/>
        <v>1.8421365768789845E-5</v>
      </c>
      <c r="AA39" s="635">
        <v>1</v>
      </c>
      <c r="AB39" s="638">
        <f t="shared" si="13"/>
        <v>34.160000000000004</v>
      </c>
      <c r="AC39" s="636">
        <f t="shared" si="14"/>
        <v>0</v>
      </c>
      <c r="AD39" s="292">
        <f t="shared" si="15"/>
        <v>0</v>
      </c>
      <c r="AE39" s="607" t="s">
        <v>99</v>
      </c>
      <c r="AF39" s="211"/>
    </row>
    <row r="40" spans="1:32" s="112" customFormat="1" ht="15" customHeight="1" x14ac:dyDescent="0.25">
      <c r="B40" s="178" t="s">
        <v>440</v>
      </c>
      <c r="C40" s="318"/>
      <c r="D40" s="193" t="s">
        <v>50</v>
      </c>
      <c r="E40" s="100"/>
      <c r="F40" s="321">
        <v>1</v>
      </c>
      <c r="G40" s="94"/>
      <c r="H40" s="193" t="s">
        <v>51</v>
      </c>
      <c r="I40" s="100"/>
      <c r="J40" s="321">
        <v>1</v>
      </c>
      <c r="K40" s="164"/>
      <c r="L40" s="193"/>
      <c r="M40" s="317"/>
      <c r="N40" s="323"/>
      <c r="O40" s="323"/>
      <c r="P40" s="481">
        <f>+'Staff Detail'!B14</f>
        <v>128.1</v>
      </c>
      <c r="Q40" s="322"/>
      <c r="R40" s="484">
        <f t="shared" si="8"/>
        <v>36.6</v>
      </c>
      <c r="S40" s="322"/>
      <c r="T40" s="319">
        <f t="shared" si="9"/>
        <v>128.1</v>
      </c>
      <c r="U40" s="317"/>
      <c r="V40" s="319">
        <f t="shared" si="10"/>
        <v>36.6</v>
      </c>
      <c r="W40" s="320"/>
      <c r="X40" s="337">
        <f t="shared" si="11"/>
        <v>1.3622107116657716E-5</v>
      </c>
      <c r="Y40" s="167"/>
      <c r="Z40" s="326">
        <f t="shared" si="12"/>
        <v>1.973717760941769E-5</v>
      </c>
      <c r="AA40" s="635">
        <v>1</v>
      </c>
      <c r="AB40" s="638">
        <f t="shared" si="13"/>
        <v>36.6</v>
      </c>
      <c r="AC40" s="636">
        <f t="shared" si="14"/>
        <v>0</v>
      </c>
      <c r="AD40" s="292">
        <f t="shared" si="15"/>
        <v>0</v>
      </c>
      <c r="AE40" s="607" t="s">
        <v>99</v>
      </c>
      <c r="AF40" s="211"/>
    </row>
    <row r="41" spans="1:32" s="112" customFormat="1" ht="15" customHeight="1" x14ac:dyDescent="0.25">
      <c r="B41" s="178" t="s">
        <v>495</v>
      </c>
      <c r="C41" s="318"/>
      <c r="D41" s="193" t="s">
        <v>50</v>
      </c>
      <c r="E41" s="100"/>
      <c r="F41" s="321">
        <v>1</v>
      </c>
      <c r="G41" s="94"/>
      <c r="H41" s="193" t="s">
        <v>51</v>
      </c>
      <c r="I41" s="100"/>
      <c r="J41" s="321">
        <v>1</v>
      </c>
      <c r="K41" s="164"/>
      <c r="L41" s="193"/>
      <c r="M41" s="317"/>
      <c r="N41" s="323"/>
      <c r="O41" s="323"/>
      <c r="P41" s="481">
        <f>+'Staff Detail'!B15</f>
        <v>119.56</v>
      </c>
      <c r="Q41" s="322"/>
      <c r="R41" s="484">
        <f t="shared" si="8"/>
        <v>34.160000000000004</v>
      </c>
      <c r="S41" s="322"/>
      <c r="T41" s="319">
        <f t="shared" si="9"/>
        <v>119.56</v>
      </c>
      <c r="U41" s="317"/>
      <c r="V41" s="319">
        <f t="shared" si="10"/>
        <v>34.160000000000004</v>
      </c>
      <c r="W41" s="320"/>
      <c r="X41" s="337">
        <f t="shared" si="11"/>
        <v>1.271396664221387E-5</v>
      </c>
      <c r="Y41" s="167"/>
      <c r="Z41" s="326">
        <f t="shared" si="12"/>
        <v>1.8421365768789845E-5</v>
      </c>
      <c r="AA41" s="635">
        <v>1</v>
      </c>
      <c r="AB41" s="638">
        <f t="shared" si="13"/>
        <v>34.160000000000004</v>
      </c>
      <c r="AC41" s="636">
        <f t="shared" si="14"/>
        <v>0</v>
      </c>
      <c r="AD41" s="292">
        <f t="shared" si="15"/>
        <v>0</v>
      </c>
      <c r="AE41" s="607" t="s">
        <v>99</v>
      </c>
      <c r="AF41" s="211"/>
    </row>
    <row r="42" spans="1:32" s="112" customFormat="1" ht="15" customHeight="1" x14ac:dyDescent="0.25">
      <c r="B42" s="178" t="s">
        <v>240</v>
      </c>
      <c r="C42" s="318"/>
      <c r="D42" s="193" t="s">
        <v>50</v>
      </c>
      <c r="E42" s="100"/>
      <c r="F42" s="321">
        <v>3</v>
      </c>
      <c r="G42" s="94"/>
      <c r="H42" s="193" t="s">
        <v>51</v>
      </c>
      <c r="I42" s="100"/>
      <c r="J42" s="800">
        <v>6.25E-2</v>
      </c>
      <c r="K42" s="164"/>
      <c r="L42" s="193"/>
      <c r="M42" s="317"/>
      <c r="N42" s="323"/>
      <c r="O42" s="323"/>
      <c r="P42" s="481">
        <f>+'Staff Detail'!B16</f>
        <v>89.67</v>
      </c>
      <c r="Q42" s="322"/>
      <c r="R42" s="484">
        <f t="shared" si="8"/>
        <v>25.62</v>
      </c>
      <c r="S42" s="322"/>
      <c r="T42" s="319">
        <f t="shared" si="9"/>
        <v>16.813124999999999</v>
      </c>
      <c r="U42" s="317"/>
      <c r="V42" s="319">
        <f t="shared" si="10"/>
        <v>4.80375</v>
      </c>
      <c r="W42" s="320"/>
      <c r="X42" s="337">
        <f t="shared" si="11"/>
        <v>1.7879015590613251E-6</v>
      </c>
      <c r="Y42" s="167"/>
      <c r="Z42" s="326">
        <f t="shared" si="12"/>
        <v>2.5905045612360714E-6</v>
      </c>
      <c r="AA42" s="635">
        <v>1</v>
      </c>
      <c r="AB42" s="638">
        <f t="shared" si="13"/>
        <v>4.80375</v>
      </c>
      <c r="AC42" s="636">
        <f t="shared" si="14"/>
        <v>0</v>
      </c>
      <c r="AD42" s="292">
        <f t="shared" si="15"/>
        <v>0</v>
      </c>
      <c r="AE42" s="607" t="s">
        <v>99</v>
      </c>
      <c r="AF42" s="211"/>
    </row>
    <row r="43" spans="1:32" s="112" customFormat="1" ht="15" customHeight="1" x14ac:dyDescent="0.25">
      <c r="B43" s="178" t="s">
        <v>444</v>
      </c>
      <c r="C43" s="318"/>
      <c r="D43" s="193" t="s">
        <v>50</v>
      </c>
      <c r="E43" s="317"/>
      <c r="F43" s="321">
        <f>+SUM(F36:F41)</f>
        <v>5</v>
      </c>
      <c r="G43" s="317"/>
      <c r="H43" s="193" t="s">
        <v>131</v>
      </c>
      <c r="I43" s="100"/>
      <c r="J43" s="321">
        <v>1</v>
      </c>
      <c r="K43" s="322"/>
      <c r="L43" s="193"/>
      <c r="M43" s="323"/>
      <c r="N43" s="323"/>
      <c r="O43" s="323"/>
      <c r="P43" s="481">
        <f>'Staff Detail'!B50</f>
        <v>75</v>
      </c>
      <c r="Q43" s="483"/>
      <c r="R43" s="484">
        <f t="shared" si="8"/>
        <v>21.428571428571427</v>
      </c>
      <c r="S43" s="322"/>
      <c r="T43" s="319">
        <f t="shared" si="9"/>
        <v>375</v>
      </c>
      <c r="U43" s="317"/>
      <c r="V43" s="319">
        <f t="shared" si="10"/>
        <v>107.14285714285714</v>
      </c>
      <c r="W43" s="320"/>
      <c r="X43" s="337">
        <f t="shared" si="11"/>
        <v>3.9877362753681834E-5</v>
      </c>
      <c r="Y43" s="167"/>
      <c r="Z43" s="326">
        <f t="shared" si="12"/>
        <v>5.7778622978389017E-5</v>
      </c>
      <c r="AA43" s="635">
        <v>1</v>
      </c>
      <c r="AB43" s="638">
        <f t="shared" si="13"/>
        <v>107.14285714285714</v>
      </c>
      <c r="AC43" s="636">
        <f t="shared" si="14"/>
        <v>0</v>
      </c>
      <c r="AD43" s="292">
        <f t="shared" si="15"/>
        <v>0</v>
      </c>
      <c r="AE43" s="607" t="s">
        <v>102</v>
      </c>
      <c r="AF43" s="211"/>
    </row>
    <row r="44" spans="1:32" s="491" customFormat="1" ht="15" customHeight="1" x14ac:dyDescent="0.25">
      <c r="B44" s="178" t="s">
        <v>17</v>
      </c>
      <c r="C44" s="478"/>
      <c r="D44" s="479" t="s">
        <v>98</v>
      </c>
      <c r="E44" s="480"/>
      <c r="F44" s="481">
        <v>3</v>
      </c>
      <c r="G44" s="480"/>
      <c r="H44" s="479" t="s">
        <v>54</v>
      </c>
      <c r="I44" s="482"/>
      <c r="J44" s="481">
        <v>11.25</v>
      </c>
      <c r="K44" s="541"/>
      <c r="L44" s="479" t="s">
        <v>51</v>
      </c>
      <c r="M44" s="542"/>
      <c r="N44" s="481">
        <v>1</v>
      </c>
      <c r="O44" s="543"/>
      <c r="P44" s="481">
        <v>3.3</v>
      </c>
      <c r="Q44" s="483"/>
      <c r="R44" s="484">
        <f t="shared" si="8"/>
        <v>0.94285714285714284</v>
      </c>
      <c r="S44" s="483"/>
      <c r="T44" s="485">
        <f t="shared" si="9"/>
        <v>111.375</v>
      </c>
      <c r="U44" s="480"/>
      <c r="V44" s="485">
        <f t="shared" si="10"/>
        <v>31.821428571428573</v>
      </c>
      <c r="W44" s="486"/>
      <c r="X44" s="487">
        <f t="shared" si="11"/>
        <v>1.1843576737843506E-5</v>
      </c>
      <c r="Y44" s="488"/>
      <c r="Z44" s="489">
        <f t="shared" si="12"/>
        <v>1.7160251024581538E-5</v>
      </c>
      <c r="AA44" s="635">
        <v>1</v>
      </c>
      <c r="AB44" s="638">
        <f t="shared" si="13"/>
        <v>31.821428571428573</v>
      </c>
      <c r="AC44" s="636"/>
      <c r="AD44" s="292">
        <f t="shared" si="15"/>
        <v>0</v>
      </c>
      <c r="AE44" s="611" t="s">
        <v>55</v>
      </c>
      <c r="AF44" s="490"/>
    </row>
    <row r="45" spans="1:32" s="112" customFormat="1" ht="15" customHeight="1" thickBot="1" x14ac:dyDescent="0.3">
      <c r="A45" s="112" t="s">
        <v>264</v>
      </c>
      <c r="B45" s="176" t="s">
        <v>96</v>
      </c>
      <c r="C45" s="318"/>
      <c r="D45" s="324"/>
      <c r="E45" s="317"/>
      <c r="F45" s="322"/>
      <c r="G45" s="317"/>
      <c r="H45" s="324"/>
      <c r="I45" s="317"/>
      <c r="J45" s="162"/>
      <c r="K45" s="322"/>
      <c r="L45" s="323"/>
      <c r="M45" s="323"/>
      <c r="N45" s="166"/>
      <c r="O45" s="323"/>
      <c r="P45" s="322"/>
      <c r="Q45" s="322"/>
      <c r="R45" s="322"/>
      <c r="S45" s="322"/>
      <c r="T45" s="133">
        <f>SUM(T36:T44)</f>
        <v>1319.4683989726027</v>
      </c>
      <c r="U45" s="318"/>
      <c r="V45" s="133">
        <f>SUM(V36:V44)</f>
        <v>376.99097113502933</v>
      </c>
      <c r="W45" s="134"/>
      <c r="X45" s="338">
        <f>SUM(X32:X44)</f>
        <v>1.4417231942122424E-3</v>
      </c>
      <c r="Y45" s="240"/>
      <c r="Z45" s="286">
        <f t="shared" si="12"/>
        <v>2.0329884574969757E-4</v>
      </c>
      <c r="AA45" s="668"/>
      <c r="AB45" s="133">
        <f>SUM(AB36:AB44)</f>
        <v>331.13950342465751</v>
      </c>
      <c r="AC45" s="637"/>
      <c r="AD45" s="133">
        <f>SUM(AD36:AD44)</f>
        <v>45.851467710371821</v>
      </c>
      <c r="AE45" s="607"/>
      <c r="AF45" s="211"/>
    </row>
    <row r="46" spans="1:32" s="112" customFormat="1" ht="15" customHeight="1" x14ac:dyDescent="0.25">
      <c r="B46" s="177"/>
      <c r="C46" s="318"/>
      <c r="D46" s="324"/>
      <c r="E46" s="317"/>
      <c r="F46" s="322"/>
      <c r="G46" s="317"/>
      <c r="H46" s="324" t="s">
        <v>135</v>
      </c>
      <c r="I46" s="317"/>
      <c r="J46" s="162"/>
      <c r="K46" s="322"/>
      <c r="L46" s="323" t="s">
        <v>135</v>
      </c>
      <c r="M46" s="323"/>
      <c r="N46" s="166"/>
      <c r="O46" s="323"/>
      <c r="P46" s="322"/>
      <c r="Q46" s="322"/>
      <c r="R46" s="322"/>
      <c r="S46" s="322"/>
      <c r="T46" s="302"/>
      <c r="U46" s="318"/>
      <c r="V46" s="302"/>
      <c r="W46" s="134"/>
      <c r="X46" s="344"/>
      <c r="Y46" s="240"/>
      <c r="Z46" s="290"/>
      <c r="AA46" s="94"/>
      <c r="AB46" s="671"/>
      <c r="AC46" s="94"/>
      <c r="AD46" s="94"/>
      <c r="AE46" s="607"/>
      <c r="AF46" s="211"/>
    </row>
    <row r="47" spans="1:32" s="112" customFormat="1" ht="15" customHeight="1" x14ac:dyDescent="0.25">
      <c r="A47" s="112" t="s">
        <v>265</v>
      </c>
      <c r="B47" s="177" t="s">
        <v>513</v>
      </c>
      <c r="C47" s="318"/>
      <c r="D47" s="324"/>
      <c r="E47" s="317"/>
      <c r="F47" s="322"/>
      <c r="G47" s="317"/>
      <c r="H47" s="324"/>
      <c r="I47" s="317"/>
      <c r="J47" s="162"/>
      <c r="K47" s="322"/>
      <c r="L47" s="323"/>
      <c r="M47" s="323"/>
      <c r="N47" s="166"/>
      <c r="O47" s="323"/>
      <c r="P47" s="322"/>
      <c r="Q47" s="322"/>
      <c r="R47" s="322"/>
      <c r="S47" s="322"/>
      <c r="T47" s="302"/>
      <c r="U47" s="318"/>
      <c r="V47" s="302"/>
      <c r="W47" s="134"/>
      <c r="X47" s="344"/>
      <c r="Y47" s="240"/>
      <c r="Z47" s="290"/>
      <c r="AA47" s="94"/>
      <c r="AB47" s="671"/>
      <c r="AC47" s="94"/>
      <c r="AD47" s="94"/>
      <c r="AE47" s="607"/>
      <c r="AF47" s="211"/>
    </row>
    <row r="48" spans="1:32" s="112" customFormat="1" ht="15" customHeight="1" x14ac:dyDescent="0.25">
      <c r="B48" s="493" t="s">
        <v>515</v>
      </c>
      <c r="C48" s="318"/>
      <c r="D48" s="193" t="s">
        <v>50</v>
      </c>
      <c r="E48" s="100"/>
      <c r="F48" s="321">
        <v>1</v>
      </c>
      <c r="G48" s="94"/>
      <c r="H48" s="193" t="s">
        <v>51</v>
      </c>
      <c r="I48" s="100"/>
      <c r="J48" s="321">
        <v>4</v>
      </c>
      <c r="K48" s="164"/>
      <c r="L48" s="193"/>
      <c r="M48" s="317"/>
      <c r="N48" s="323"/>
      <c r="O48" s="323"/>
      <c r="P48" s="321">
        <f>+'Staff Detail'!B36</f>
        <v>383.56164383561645</v>
      </c>
      <c r="Q48" s="322"/>
      <c r="R48" s="327">
        <f t="shared" ref="R48:R61" si="16">P48/$V$6</f>
        <v>109.58904109589041</v>
      </c>
      <c r="S48" s="322"/>
      <c r="T48" s="319">
        <f t="shared" ref="T48" si="17">IF(N48=0,IF(J48=0,F48*P48,F48*J48*P48),F48*J48*N48*P48)</f>
        <v>1534.2465753424658</v>
      </c>
      <c r="U48" s="317"/>
      <c r="V48" s="319">
        <f t="shared" ref="V48" si="18">T48/$V$6</f>
        <v>438.35616438356163</v>
      </c>
      <c r="W48" s="320"/>
      <c r="X48" s="337">
        <f t="shared" ref="X48" si="19">V48/$V$3</f>
        <v>1.6315121930273482E-4</v>
      </c>
      <c r="Y48" s="167"/>
      <c r="Z48" s="489">
        <f>V48/$V$601</f>
        <v>2.3639107848692493E-4</v>
      </c>
      <c r="AA48" s="635">
        <v>1</v>
      </c>
      <c r="AB48" s="638">
        <f t="shared" ref="AB48:AB49" si="20">+W48+V48*AA48</f>
        <v>438.35616438356163</v>
      </c>
      <c r="AC48" s="636">
        <f t="shared" ref="AC48:AC49" si="21">+AD48/V48</f>
        <v>0</v>
      </c>
      <c r="AD48" s="292">
        <f t="shared" ref="AD48:AD49" si="22">+V48-AB48</f>
        <v>0</v>
      </c>
      <c r="AE48" s="607" t="s">
        <v>99</v>
      </c>
      <c r="AF48" s="211"/>
    </row>
    <row r="49" spans="1:33" s="112" customFormat="1" ht="15" customHeight="1" x14ac:dyDescent="0.25">
      <c r="B49" s="178" t="s">
        <v>514</v>
      </c>
      <c r="C49" s="318"/>
      <c r="D49" s="193" t="s">
        <v>268</v>
      </c>
      <c r="E49" s="100"/>
      <c r="F49" s="321">
        <v>3</v>
      </c>
      <c r="G49" s="94"/>
      <c r="H49" s="193" t="s">
        <v>400</v>
      </c>
      <c r="I49" s="100"/>
      <c r="J49" s="481">
        <v>3</v>
      </c>
      <c r="K49" s="164"/>
      <c r="L49" s="193"/>
      <c r="M49" s="317"/>
      <c r="N49" s="323"/>
      <c r="O49" s="323"/>
      <c r="P49" s="321">
        <v>30</v>
      </c>
      <c r="Q49" s="322"/>
      <c r="R49" s="327">
        <f t="shared" si="16"/>
        <v>8.5714285714285712</v>
      </c>
      <c r="S49" s="322"/>
      <c r="T49" s="319">
        <f t="shared" ref="T49" si="23">IF(N49=0,IF(J49=0,F49*P49,F49*J49*P49),F49*J49*N49*P49)</f>
        <v>270</v>
      </c>
      <c r="U49" s="317"/>
      <c r="V49" s="319">
        <f t="shared" ref="V49" si="24">T49/$V$6</f>
        <v>77.142857142857139</v>
      </c>
      <c r="W49" s="320"/>
      <c r="X49" s="337">
        <f t="shared" ref="X49" si="25">V49/$V$3</f>
        <v>2.871170118265092E-5</v>
      </c>
      <c r="Y49" s="167"/>
      <c r="Z49" s="489">
        <f>V49/$V$601</f>
        <v>4.1600608544440088E-5</v>
      </c>
      <c r="AA49" s="635">
        <v>1</v>
      </c>
      <c r="AB49" s="638">
        <f t="shared" si="20"/>
        <v>77.142857142857139</v>
      </c>
      <c r="AC49" s="636">
        <f t="shared" si="21"/>
        <v>0</v>
      </c>
      <c r="AD49" s="292">
        <f t="shared" si="22"/>
        <v>0</v>
      </c>
      <c r="AE49" s="607"/>
      <c r="AF49" s="211"/>
    </row>
    <row r="50" spans="1:33" s="112" customFormat="1" ht="15" customHeight="1" x14ac:dyDescent="0.25">
      <c r="B50" s="178"/>
      <c r="C50" s="175"/>
      <c r="D50" s="526"/>
      <c r="E50" s="103"/>
      <c r="F50" s="527"/>
      <c r="G50" s="103"/>
      <c r="H50" s="526"/>
      <c r="I50" s="103"/>
      <c r="J50" s="915"/>
      <c r="K50" s="524"/>
      <c r="L50" s="526"/>
      <c r="M50" s="103"/>
      <c r="N50" s="525"/>
      <c r="O50" s="525"/>
      <c r="P50" s="527"/>
      <c r="Q50" s="524"/>
      <c r="R50" s="327"/>
      <c r="S50" s="524"/>
      <c r="T50" s="102"/>
      <c r="U50" s="103"/>
      <c r="V50" s="102"/>
      <c r="W50" s="111"/>
      <c r="X50" s="352"/>
      <c r="Y50" s="120"/>
      <c r="Z50" s="326"/>
      <c r="AA50" s="916"/>
      <c r="AB50" s="917"/>
      <c r="AC50" s="918"/>
      <c r="AD50" s="529"/>
      <c r="AE50" s="615"/>
      <c r="AF50" s="211"/>
    </row>
    <row r="51" spans="1:33" s="112" customFormat="1" ht="15" customHeight="1" x14ac:dyDescent="0.25">
      <c r="A51" s="455"/>
      <c r="B51" s="126" t="s">
        <v>338</v>
      </c>
      <c r="C51" s="801"/>
      <c r="D51" s="802" t="s">
        <v>50</v>
      </c>
      <c r="E51" s="803"/>
      <c r="F51" s="804">
        <v>1</v>
      </c>
      <c r="G51" s="805"/>
      <c r="H51" s="802" t="s">
        <v>51</v>
      </c>
      <c r="I51" s="803"/>
      <c r="J51" s="804">
        <v>6</v>
      </c>
      <c r="K51" s="807"/>
      <c r="L51" s="881"/>
      <c r="M51" s="805"/>
      <c r="N51" s="808"/>
      <c r="O51" s="808"/>
      <c r="P51" s="809">
        <f>+'Staff Detail'!B28</f>
        <v>249.04043835616437</v>
      </c>
      <c r="Q51" s="807"/>
      <c r="R51" s="327">
        <f t="shared" si="16"/>
        <v>71.154410958904108</v>
      </c>
      <c r="S51" s="807"/>
      <c r="T51" s="811">
        <v>1494</v>
      </c>
      <c r="U51" s="805"/>
      <c r="V51" s="811">
        <v>427</v>
      </c>
      <c r="W51" s="811"/>
      <c r="X51" s="812">
        <v>0</v>
      </c>
      <c r="Y51" s="813"/>
      <c r="Z51" s="489">
        <f t="shared" ref="Z51:Z61" si="26">V51/$V$601</f>
        <v>2.3026707210987304E-4</v>
      </c>
      <c r="AA51" s="815">
        <v>0.25</v>
      </c>
      <c r="AB51" s="638">
        <f t="shared" ref="AB51:AB61" si="27">+W51+V51*AA51</f>
        <v>106.75</v>
      </c>
      <c r="AC51" s="636">
        <f t="shared" ref="AC51:AC61" si="28">+AD51/V51</f>
        <v>0.75</v>
      </c>
      <c r="AD51" s="292">
        <f t="shared" ref="AD51:AD61" si="29">+V51-AB51</f>
        <v>320.25</v>
      </c>
      <c r="AE51" s="819" t="s">
        <v>99</v>
      </c>
      <c r="AF51" s="820"/>
      <c r="AG51" s="455"/>
    </row>
    <row r="52" spans="1:33" s="112" customFormat="1" ht="15" customHeight="1" x14ac:dyDescent="0.25">
      <c r="A52" s="455"/>
      <c r="B52" s="126" t="s">
        <v>422</v>
      </c>
      <c r="C52" s="882"/>
      <c r="D52" s="883" t="s">
        <v>50</v>
      </c>
      <c r="E52" s="884"/>
      <c r="F52" s="885">
        <v>1</v>
      </c>
      <c r="G52" s="886"/>
      <c r="H52" s="883" t="s">
        <v>51</v>
      </c>
      <c r="I52" s="884"/>
      <c r="J52" s="885">
        <v>6</v>
      </c>
      <c r="K52" s="887"/>
      <c r="L52" s="888"/>
      <c r="M52" s="886"/>
      <c r="N52" s="889"/>
      <c r="O52" s="889"/>
      <c r="P52" s="890">
        <f>+'Staff Detail'!B26</f>
        <v>320.96027397260275</v>
      </c>
      <c r="Q52" s="887"/>
      <c r="R52" s="327">
        <f t="shared" si="16"/>
        <v>91.702935420743643</v>
      </c>
      <c r="S52" s="887"/>
      <c r="T52" s="891">
        <v>1926</v>
      </c>
      <c r="U52" s="886"/>
      <c r="V52" s="891">
        <v>550</v>
      </c>
      <c r="W52" s="891"/>
      <c r="X52" s="892">
        <v>0</v>
      </c>
      <c r="Y52" s="893"/>
      <c r="Z52" s="489">
        <f t="shared" si="26"/>
        <v>2.965969312890636E-4</v>
      </c>
      <c r="AA52" s="894">
        <v>0.25</v>
      </c>
      <c r="AB52" s="638">
        <f t="shared" si="27"/>
        <v>137.5</v>
      </c>
      <c r="AC52" s="636">
        <f t="shared" si="28"/>
        <v>0.75</v>
      </c>
      <c r="AD52" s="292">
        <f t="shared" si="29"/>
        <v>412.5</v>
      </c>
      <c r="AE52" s="895" t="s">
        <v>99</v>
      </c>
      <c r="AF52" s="820"/>
      <c r="AG52" s="455"/>
    </row>
    <row r="53" spans="1:33" s="112" customFormat="1" ht="15" customHeight="1" x14ac:dyDescent="0.25">
      <c r="A53" s="455"/>
      <c r="B53" s="126" t="s">
        <v>421</v>
      </c>
      <c r="C53" s="882"/>
      <c r="D53" s="883" t="s">
        <v>50</v>
      </c>
      <c r="E53" s="884"/>
      <c r="F53" s="885">
        <v>1</v>
      </c>
      <c r="G53" s="886"/>
      <c r="H53" s="883" t="s">
        <v>51</v>
      </c>
      <c r="I53" s="884"/>
      <c r="J53" s="885">
        <v>6</v>
      </c>
      <c r="K53" s="887"/>
      <c r="L53" s="888"/>
      <c r="M53" s="886"/>
      <c r="N53" s="889"/>
      <c r="O53" s="889"/>
      <c r="P53" s="890">
        <f>+'Staff Detail'!B27</f>
        <v>226.57906849315069</v>
      </c>
      <c r="Q53" s="887"/>
      <c r="R53" s="327">
        <f t="shared" si="16"/>
        <v>64.736876712328765</v>
      </c>
      <c r="S53" s="887"/>
      <c r="T53" s="891">
        <v>1359</v>
      </c>
      <c r="U53" s="886"/>
      <c r="V53" s="891">
        <v>388</v>
      </c>
      <c r="W53" s="891"/>
      <c r="X53" s="892">
        <v>0</v>
      </c>
      <c r="Y53" s="893"/>
      <c r="Z53" s="489">
        <f t="shared" si="26"/>
        <v>2.0923565334573943E-4</v>
      </c>
      <c r="AA53" s="894">
        <v>0.25</v>
      </c>
      <c r="AB53" s="638">
        <f t="shared" si="27"/>
        <v>97</v>
      </c>
      <c r="AC53" s="636">
        <f t="shared" si="28"/>
        <v>0.75</v>
      </c>
      <c r="AD53" s="292">
        <f t="shared" si="29"/>
        <v>291</v>
      </c>
      <c r="AE53" s="895" t="s">
        <v>99</v>
      </c>
      <c r="AF53" s="820"/>
      <c r="AG53" s="455"/>
    </row>
    <row r="54" spans="1:33" s="112" customFormat="1" ht="15" customHeight="1" x14ac:dyDescent="0.25">
      <c r="A54" s="455"/>
      <c r="B54" s="126" t="s">
        <v>256</v>
      </c>
      <c r="C54" s="896"/>
      <c r="D54" s="883" t="s">
        <v>50</v>
      </c>
      <c r="E54" s="886"/>
      <c r="F54" s="897">
        <v>1</v>
      </c>
      <c r="G54" s="886"/>
      <c r="H54" s="883" t="s">
        <v>51</v>
      </c>
      <c r="I54" s="884"/>
      <c r="J54" s="885">
        <v>15</v>
      </c>
      <c r="K54" s="887"/>
      <c r="L54" s="883"/>
      <c r="M54" s="898"/>
      <c r="N54" s="899"/>
      <c r="O54" s="889"/>
      <c r="P54" s="897">
        <f>+'Staff Detail'!B38</f>
        <v>383.56164383561645</v>
      </c>
      <c r="Q54" s="887"/>
      <c r="R54" s="327">
        <f t="shared" si="16"/>
        <v>109.58904109589041</v>
      </c>
      <c r="S54" s="887"/>
      <c r="T54" s="891">
        <v>4603</v>
      </c>
      <c r="U54" s="886"/>
      <c r="V54" s="891">
        <v>1315</v>
      </c>
      <c r="W54" s="891"/>
      <c r="X54" s="892">
        <v>0</v>
      </c>
      <c r="Y54" s="893"/>
      <c r="Z54" s="489">
        <f t="shared" si="26"/>
        <v>7.0913629935476122E-4</v>
      </c>
      <c r="AA54" s="894">
        <v>0.25</v>
      </c>
      <c r="AB54" s="638">
        <f t="shared" si="27"/>
        <v>328.75</v>
      </c>
      <c r="AC54" s="636">
        <f t="shared" si="28"/>
        <v>0.75</v>
      </c>
      <c r="AD54" s="292">
        <f t="shared" si="29"/>
        <v>986.25</v>
      </c>
      <c r="AE54" s="895" t="s">
        <v>99</v>
      </c>
      <c r="AF54" s="455"/>
      <c r="AG54" s="455"/>
    </row>
    <row r="55" spans="1:33" s="112" customFormat="1" ht="15" customHeight="1" x14ac:dyDescent="0.25">
      <c r="A55" s="455"/>
      <c r="B55" s="126" t="s">
        <v>465</v>
      </c>
      <c r="C55" s="896"/>
      <c r="D55" s="883" t="s">
        <v>50</v>
      </c>
      <c r="E55" s="886"/>
      <c r="F55" s="897">
        <v>2</v>
      </c>
      <c r="G55" s="886"/>
      <c r="H55" s="883" t="s">
        <v>51</v>
      </c>
      <c r="I55" s="884"/>
      <c r="J55" s="885">
        <v>7</v>
      </c>
      <c r="K55" s="887"/>
      <c r="L55" s="883"/>
      <c r="M55" s="898"/>
      <c r="N55" s="899"/>
      <c r="O55" s="889"/>
      <c r="P55" s="897">
        <f>+'Staff Detail'!B43</f>
        <v>1582.1917808219177</v>
      </c>
      <c r="Q55" s="887"/>
      <c r="R55" s="327">
        <f t="shared" si="16"/>
        <v>452.05479452054794</v>
      </c>
      <c r="S55" s="887"/>
      <c r="T55" s="891">
        <v>9493</v>
      </c>
      <c r="U55" s="886"/>
      <c r="V55" s="891">
        <v>2712</v>
      </c>
      <c r="W55" s="891"/>
      <c r="X55" s="892">
        <v>1E-3</v>
      </c>
      <c r="Y55" s="893"/>
      <c r="Z55" s="489">
        <f t="shared" si="26"/>
        <v>1.4624925048289828E-3</v>
      </c>
      <c r="AA55" s="894">
        <v>0.25</v>
      </c>
      <c r="AB55" s="638">
        <f t="shared" si="27"/>
        <v>678</v>
      </c>
      <c r="AC55" s="636">
        <f t="shared" si="28"/>
        <v>0.75</v>
      </c>
      <c r="AD55" s="292">
        <f t="shared" si="29"/>
        <v>2034</v>
      </c>
      <c r="AE55" s="895" t="s">
        <v>99</v>
      </c>
      <c r="AF55" s="455"/>
      <c r="AG55" s="455"/>
    </row>
    <row r="56" spans="1:33" s="112" customFormat="1" ht="15" customHeight="1" x14ac:dyDescent="0.25">
      <c r="A56" s="126"/>
      <c r="B56" s="126" t="s">
        <v>466</v>
      </c>
      <c r="C56" s="900"/>
      <c r="D56" s="901" t="s">
        <v>50</v>
      </c>
      <c r="E56" s="902"/>
      <c r="F56" s="890">
        <v>3</v>
      </c>
      <c r="G56" s="902"/>
      <c r="H56" s="901" t="s">
        <v>51</v>
      </c>
      <c r="I56" s="903"/>
      <c r="J56" s="904">
        <v>0.5</v>
      </c>
      <c r="K56" s="905"/>
      <c r="L56" s="888"/>
      <c r="M56" s="903"/>
      <c r="N56" s="900"/>
      <c r="O56" s="906"/>
      <c r="P56" s="890">
        <v>90</v>
      </c>
      <c r="Q56" s="905"/>
      <c r="R56" s="327">
        <f t="shared" si="16"/>
        <v>25.714285714285715</v>
      </c>
      <c r="S56" s="887"/>
      <c r="T56" s="891">
        <v>135</v>
      </c>
      <c r="U56" s="886"/>
      <c r="V56" s="891">
        <v>38</v>
      </c>
      <c r="W56" s="891"/>
      <c r="X56" s="892">
        <v>0</v>
      </c>
      <c r="Y56" s="893"/>
      <c r="Z56" s="489">
        <f t="shared" si="26"/>
        <v>2.0492151616335304E-5</v>
      </c>
      <c r="AA56" s="894">
        <v>0.25</v>
      </c>
      <c r="AB56" s="638">
        <f t="shared" si="27"/>
        <v>9.5</v>
      </c>
      <c r="AC56" s="636">
        <f t="shared" si="28"/>
        <v>0.75</v>
      </c>
      <c r="AD56" s="292">
        <f t="shared" si="29"/>
        <v>28.5</v>
      </c>
      <c r="AE56" s="895" t="s">
        <v>99</v>
      </c>
      <c r="AF56" s="907"/>
      <c r="AG56" s="126"/>
    </row>
    <row r="57" spans="1:33" s="112" customFormat="1" ht="15" customHeight="1" x14ac:dyDescent="0.25">
      <c r="A57" s="126"/>
      <c r="B57" s="126" t="s">
        <v>469</v>
      </c>
      <c r="C57" s="900"/>
      <c r="D57" s="901" t="s">
        <v>509</v>
      </c>
      <c r="E57" s="902"/>
      <c r="F57" s="890">
        <v>1</v>
      </c>
      <c r="G57" s="902"/>
      <c r="H57" s="901" t="s">
        <v>51</v>
      </c>
      <c r="I57" s="903"/>
      <c r="J57" s="908">
        <v>3</v>
      </c>
      <c r="K57" s="905"/>
      <c r="L57" s="888"/>
      <c r="M57" s="903"/>
      <c r="N57" s="900"/>
      <c r="O57" s="906"/>
      <c r="P57" s="890">
        <v>500</v>
      </c>
      <c r="Q57" s="905"/>
      <c r="R57" s="327">
        <f t="shared" si="16"/>
        <v>142.85714285714286</v>
      </c>
      <c r="S57" s="887"/>
      <c r="T57" s="891">
        <v>2500</v>
      </c>
      <c r="U57" s="886"/>
      <c r="V57" s="891">
        <v>714</v>
      </c>
      <c r="W57" s="891"/>
      <c r="X57" s="892">
        <v>0</v>
      </c>
      <c r="Y57" s="893"/>
      <c r="Z57" s="489">
        <f t="shared" si="26"/>
        <v>3.8503674352798441E-4</v>
      </c>
      <c r="AA57" s="894">
        <v>0.25</v>
      </c>
      <c r="AB57" s="638">
        <f t="shared" si="27"/>
        <v>178.5</v>
      </c>
      <c r="AC57" s="636">
        <f t="shared" si="28"/>
        <v>0.75</v>
      </c>
      <c r="AD57" s="292">
        <f t="shared" si="29"/>
        <v>535.5</v>
      </c>
      <c r="AE57" s="895" t="s">
        <v>99</v>
      </c>
      <c r="AF57" s="907"/>
      <c r="AG57" s="126"/>
    </row>
    <row r="58" spans="1:33" s="112" customFormat="1" ht="15" customHeight="1" x14ac:dyDescent="0.25">
      <c r="A58" s="126"/>
      <c r="B58" s="126" t="s">
        <v>467</v>
      </c>
      <c r="C58" s="900"/>
      <c r="D58" s="901" t="s">
        <v>50</v>
      </c>
      <c r="E58" s="902"/>
      <c r="F58" s="890">
        <v>3</v>
      </c>
      <c r="G58" s="902"/>
      <c r="H58" s="126"/>
      <c r="I58" s="909"/>
      <c r="J58" s="908"/>
      <c r="K58" s="905"/>
      <c r="L58" s="901" t="s">
        <v>468</v>
      </c>
      <c r="M58" s="903"/>
      <c r="N58" s="900"/>
      <c r="O58" s="906"/>
      <c r="P58" s="890">
        <v>750</v>
      </c>
      <c r="Q58" s="905"/>
      <c r="R58" s="327">
        <f t="shared" si="16"/>
        <v>214.28571428571428</v>
      </c>
      <c r="S58" s="887"/>
      <c r="T58" s="891">
        <v>6750</v>
      </c>
      <c r="U58" s="886"/>
      <c r="V58" s="891">
        <v>1929</v>
      </c>
      <c r="W58" s="891"/>
      <c r="X58" s="892">
        <v>1E-3</v>
      </c>
      <c r="Y58" s="893"/>
      <c r="Z58" s="489">
        <f t="shared" si="26"/>
        <v>1.0402463281029158E-3</v>
      </c>
      <c r="AA58" s="894">
        <v>0.25</v>
      </c>
      <c r="AB58" s="638">
        <f t="shared" si="27"/>
        <v>482.25</v>
      </c>
      <c r="AC58" s="636">
        <f t="shared" si="28"/>
        <v>0.75</v>
      </c>
      <c r="AD58" s="292">
        <f t="shared" si="29"/>
        <v>1446.75</v>
      </c>
      <c r="AE58" s="895" t="s">
        <v>99</v>
      </c>
      <c r="AF58" s="907"/>
      <c r="AG58" s="126"/>
    </row>
    <row r="59" spans="1:33" s="491" customFormat="1" ht="15" customHeight="1" x14ac:dyDescent="0.25">
      <c r="A59" s="126"/>
      <c r="B59" s="126" t="s">
        <v>470</v>
      </c>
      <c r="C59" s="900"/>
      <c r="D59" s="901" t="s">
        <v>50</v>
      </c>
      <c r="E59" s="902"/>
      <c r="F59" s="890">
        <v>1</v>
      </c>
      <c r="G59" s="902"/>
      <c r="H59" s="945"/>
      <c r="I59" s="903"/>
      <c r="J59" s="908"/>
      <c r="K59" s="905"/>
      <c r="L59" s="901"/>
      <c r="M59" s="903"/>
      <c r="N59" s="900"/>
      <c r="O59" s="906"/>
      <c r="P59" s="890">
        <v>2800</v>
      </c>
      <c r="Q59" s="905"/>
      <c r="R59" s="484">
        <f t="shared" si="16"/>
        <v>800</v>
      </c>
      <c r="S59" s="905"/>
      <c r="T59" s="910">
        <v>4200</v>
      </c>
      <c r="U59" s="902"/>
      <c r="V59" s="910">
        <v>1200</v>
      </c>
      <c r="W59" s="910"/>
      <c r="X59" s="911">
        <v>0</v>
      </c>
      <c r="Y59" s="912"/>
      <c r="Z59" s="489">
        <f t="shared" si="26"/>
        <v>6.4712057735795696E-4</v>
      </c>
      <c r="AA59" s="913">
        <v>0.25</v>
      </c>
      <c r="AB59" s="661">
        <f t="shared" si="27"/>
        <v>300</v>
      </c>
      <c r="AC59" s="662">
        <f t="shared" si="28"/>
        <v>0.75</v>
      </c>
      <c r="AD59" s="483">
        <f t="shared" si="29"/>
        <v>900</v>
      </c>
      <c r="AE59" s="902" t="s">
        <v>99</v>
      </c>
      <c r="AF59" s="907"/>
      <c r="AG59" s="126"/>
    </row>
    <row r="60" spans="1:33" s="112" customFormat="1" ht="15" customHeight="1" x14ac:dyDescent="0.25">
      <c r="A60" s="126"/>
      <c r="B60" s="126" t="s">
        <v>300</v>
      </c>
      <c r="C60" s="900"/>
      <c r="D60" s="901" t="s">
        <v>50</v>
      </c>
      <c r="E60" s="902"/>
      <c r="F60" s="890">
        <v>4</v>
      </c>
      <c r="G60" s="902"/>
      <c r="H60" s="901" t="s">
        <v>51</v>
      </c>
      <c r="I60" s="903"/>
      <c r="J60" s="908">
        <v>5</v>
      </c>
      <c r="K60" s="905"/>
      <c r="L60" s="888"/>
      <c r="M60" s="903"/>
      <c r="N60" s="900"/>
      <c r="O60" s="906"/>
      <c r="P60" s="890">
        <v>850</v>
      </c>
      <c r="Q60" s="905"/>
      <c r="R60" s="327">
        <f t="shared" si="16"/>
        <v>242.85714285714286</v>
      </c>
      <c r="S60" s="905"/>
      <c r="T60" s="910">
        <v>30600</v>
      </c>
      <c r="U60" s="902"/>
      <c r="V60" s="910">
        <v>8743</v>
      </c>
      <c r="W60" s="910"/>
      <c r="X60" s="911">
        <v>3.0000000000000001E-3</v>
      </c>
      <c r="Y60" s="912"/>
      <c r="Z60" s="489">
        <f t="shared" si="26"/>
        <v>4.7148126732005149E-3</v>
      </c>
      <c r="AA60" s="913">
        <v>0.25</v>
      </c>
      <c r="AB60" s="638">
        <f t="shared" si="27"/>
        <v>2185.75</v>
      </c>
      <c r="AC60" s="636">
        <f t="shared" si="28"/>
        <v>0.75</v>
      </c>
      <c r="AD60" s="292">
        <f t="shared" si="29"/>
        <v>6557.25</v>
      </c>
      <c r="AE60" s="895" t="s">
        <v>99</v>
      </c>
      <c r="AF60" s="907"/>
      <c r="AG60" s="126"/>
    </row>
    <row r="61" spans="1:33" s="112" customFormat="1" ht="15" customHeight="1" x14ac:dyDescent="0.25">
      <c r="A61" s="126"/>
      <c r="B61" s="126" t="s">
        <v>297</v>
      </c>
      <c r="C61" s="900"/>
      <c r="D61" s="901" t="s">
        <v>98</v>
      </c>
      <c r="E61" s="902"/>
      <c r="F61" s="890">
        <v>2</v>
      </c>
      <c r="G61" s="902"/>
      <c r="H61" s="901" t="s">
        <v>54</v>
      </c>
      <c r="I61" s="903"/>
      <c r="J61" s="908">
        <v>23</v>
      </c>
      <c r="K61" s="905"/>
      <c r="L61" s="901" t="s">
        <v>51</v>
      </c>
      <c r="M61" s="914"/>
      <c r="N61" s="908">
        <v>2</v>
      </c>
      <c r="O61" s="906"/>
      <c r="P61" s="890">
        <v>3</v>
      </c>
      <c r="Q61" s="905"/>
      <c r="R61" s="327">
        <f t="shared" si="16"/>
        <v>0.8571428571428571</v>
      </c>
      <c r="S61" s="905"/>
      <c r="T61" s="910">
        <v>607</v>
      </c>
      <c r="U61" s="902"/>
      <c r="V61" s="910">
        <v>173</v>
      </c>
      <c r="W61" s="910"/>
      <c r="X61" s="911">
        <v>0</v>
      </c>
      <c r="Y61" s="912"/>
      <c r="Z61" s="489">
        <f t="shared" si="26"/>
        <v>9.3293216569105466E-5</v>
      </c>
      <c r="AA61" s="913">
        <v>0.25</v>
      </c>
      <c r="AB61" s="638">
        <f t="shared" si="27"/>
        <v>43.25</v>
      </c>
      <c r="AC61" s="636">
        <f t="shared" si="28"/>
        <v>0.75</v>
      </c>
      <c r="AD61" s="292">
        <f t="shared" si="29"/>
        <v>129.75</v>
      </c>
      <c r="AE61" s="902" t="s">
        <v>55</v>
      </c>
      <c r="AF61" s="907"/>
      <c r="AG61" s="126"/>
    </row>
    <row r="62" spans="1:33" s="112" customFormat="1" ht="15" customHeight="1" thickBot="1" x14ac:dyDescent="0.3">
      <c r="A62" s="112" t="s">
        <v>265</v>
      </c>
      <c r="B62" s="176" t="s">
        <v>96</v>
      </c>
      <c r="C62" s="318"/>
      <c r="D62" s="324"/>
      <c r="E62" s="317"/>
      <c r="F62" s="322"/>
      <c r="G62" s="317"/>
      <c r="H62" s="324"/>
      <c r="I62" s="317"/>
      <c r="J62" s="162"/>
      <c r="K62" s="322"/>
      <c r="L62" s="323"/>
      <c r="M62" s="323"/>
      <c r="N62" s="166"/>
      <c r="O62" s="323"/>
      <c r="P62" s="322"/>
      <c r="Q62" s="322"/>
      <c r="R62" s="322"/>
      <c r="S62" s="322"/>
      <c r="T62" s="133">
        <f>+SUM(T48:T61)</f>
        <v>65471.246575342462</v>
      </c>
      <c r="U62" s="133"/>
      <c r="V62" s="133">
        <f>+SUM(V48:V61)</f>
        <v>18704.499021526419</v>
      </c>
      <c r="W62" s="134"/>
      <c r="X62" s="672">
        <f>+SUM(X48:X61)</f>
        <v>5.191862920485386E-3</v>
      </c>
      <c r="Y62" s="240"/>
      <c r="Z62" s="286"/>
      <c r="AA62" s="668"/>
      <c r="AB62" s="133">
        <f>+SUM(AB48:AB61)</f>
        <v>5062.7490215264188</v>
      </c>
      <c r="AC62" s="637"/>
      <c r="AD62" s="133">
        <f>+SUM(AD48:AD61)</f>
        <v>13641.75</v>
      </c>
      <c r="AE62" s="607"/>
      <c r="AF62" s="211"/>
    </row>
    <row r="63" spans="1:33" s="112" customFormat="1" ht="15" customHeight="1" x14ac:dyDescent="0.25">
      <c r="B63" s="177"/>
      <c r="C63" s="318"/>
      <c r="D63" s="324"/>
      <c r="E63" s="317"/>
      <c r="F63" s="322"/>
      <c r="G63" s="317"/>
      <c r="H63" s="324"/>
      <c r="I63" s="317"/>
      <c r="J63" s="162"/>
      <c r="K63" s="322"/>
      <c r="L63" s="323"/>
      <c r="M63" s="323"/>
      <c r="N63" s="166"/>
      <c r="O63" s="323"/>
      <c r="P63" s="322"/>
      <c r="Q63" s="322"/>
      <c r="R63" s="322"/>
      <c r="S63" s="322"/>
      <c r="T63" s="302"/>
      <c r="U63" s="318"/>
      <c r="V63" s="302"/>
      <c r="W63" s="134"/>
      <c r="X63" s="344"/>
      <c r="Y63" s="240"/>
      <c r="Z63" s="290"/>
      <c r="AA63" s="94"/>
      <c r="AB63" s="648"/>
      <c r="AC63" s="94"/>
      <c r="AD63" s="94"/>
      <c r="AE63" s="607"/>
      <c r="AF63" s="211"/>
    </row>
    <row r="64" spans="1:33" s="112" customFormat="1" ht="15" customHeight="1" x14ac:dyDescent="0.25">
      <c r="B64" s="177" t="s">
        <v>518</v>
      </c>
      <c r="C64" s="318"/>
      <c r="D64" s="324"/>
      <c r="E64" s="317"/>
      <c r="F64" s="322"/>
      <c r="G64" s="317"/>
      <c r="H64" s="324"/>
      <c r="I64" s="317"/>
      <c r="J64" s="162"/>
      <c r="K64" s="322"/>
      <c r="L64" s="323"/>
      <c r="M64" s="323"/>
      <c r="N64" s="166"/>
      <c r="O64" s="323"/>
      <c r="P64" s="322"/>
      <c r="Q64" s="322"/>
      <c r="R64" s="322"/>
      <c r="S64" s="322"/>
      <c r="T64" s="302"/>
      <c r="U64" s="318"/>
      <c r="V64" s="302"/>
      <c r="W64" s="134"/>
      <c r="X64" s="344"/>
      <c r="Y64" s="240"/>
      <c r="Z64" s="290"/>
      <c r="AA64" s="94"/>
      <c r="AB64" s="648"/>
      <c r="AC64" s="94"/>
      <c r="AD64" s="94"/>
      <c r="AE64" s="607"/>
      <c r="AF64" s="211"/>
    </row>
    <row r="65" spans="1:32" s="112" customFormat="1" ht="15" customHeight="1" x14ac:dyDescent="0.25">
      <c r="B65" s="178" t="s">
        <v>140</v>
      </c>
      <c r="C65" s="318"/>
      <c r="D65" s="193" t="s">
        <v>50</v>
      </c>
      <c r="E65" s="100"/>
      <c r="F65" s="321">
        <v>3</v>
      </c>
      <c r="G65" s="94"/>
      <c r="H65" s="193" t="s">
        <v>51</v>
      </c>
      <c r="I65" s="100"/>
      <c r="J65" s="321">
        <v>1</v>
      </c>
      <c r="K65" s="164"/>
      <c r="L65" s="193"/>
      <c r="M65" s="317"/>
      <c r="N65" s="323"/>
      <c r="O65" s="323"/>
      <c r="P65" s="321">
        <f>+'Staff Detail'!B20</f>
        <v>128.1</v>
      </c>
      <c r="Q65" s="322"/>
      <c r="R65" s="327">
        <f t="shared" ref="R65:R68" si="30">P65/$V$6</f>
        <v>36.6</v>
      </c>
      <c r="S65" s="322"/>
      <c r="T65" s="319">
        <f t="shared" ref="T65:T68" si="31">IF(N65=0,IF(J65=0,F65*P65,F65*J65*P65),F65*J65*N65*P65)</f>
        <v>384.29999999999995</v>
      </c>
      <c r="U65" s="317"/>
      <c r="V65" s="319">
        <f t="shared" ref="V65:V68" si="32">T65/$V$6</f>
        <v>109.79999999999998</v>
      </c>
      <c r="W65" s="320"/>
      <c r="X65" s="337">
        <f t="shared" ref="X65:X68" si="33">V65/$V$3</f>
        <v>4.0866321349973139E-5</v>
      </c>
      <c r="Y65" s="167"/>
      <c r="Z65" s="326">
        <f>V65/$V$601</f>
        <v>5.9211532828253056E-5</v>
      </c>
      <c r="AA65" s="635">
        <v>0.75</v>
      </c>
      <c r="AB65" s="638">
        <f>+W65+V65*AA65</f>
        <v>82.35</v>
      </c>
      <c r="AC65" s="636">
        <f t="shared" ref="AC65:AC68" si="34">+AD65/V65</f>
        <v>0.24999999999999994</v>
      </c>
      <c r="AD65" s="292">
        <f>+V65-AB65</f>
        <v>27.449999999999989</v>
      </c>
      <c r="AE65" s="607" t="s">
        <v>99</v>
      </c>
      <c r="AF65" s="211"/>
    </row>
    <row r="66" spans="1:32" s="112" customFormat="1" ht="15" customHeight="1" x14ac:dyDescent="0.25">
      <c r="B66" s="178" t="s">
        <v>240</v>
      </c>
      <c r="C66" s="318"/>
      <c r="D66" s="193" t="s">
        <v>50</v>
      </c>
      <c r="E66" s="100"/>
      <c r="F66" s="321">
        <v>3</v>
      </c>
      <c r="G66" s="94"/>
      <c r="H66" s="193" t="s">
        <v>51</v>
      </c>
      <c r="I66" s="100"/>
      <c r="J66" s="800">
        <v>6.25E-2</v>
      </c>
      <c r="K66" s="164"/>
      <c r="L66" s="193"/>
      <c r="M66" s="317"/>
      <c r="N66" s="323"/>
      <c r="O66" s="323"/>
      <c r="P66" s="481">
        <f>+'Staff Detail'!B16</f>
        <v>89.67</v>
      </c>
      <c r="Q66" s="322"/>
      <c r="R66" s="484">
        <f t="shared" si="30"/>
        <v>25.62</v>
      </c>
      <c r="S66" s="322"/>
      <c r="T66" s="319">
        <f t="shared" si="31"/>
        <v>16.813124999999999</v>
      </c>
      <c r="U66" s="317"/>
      <c r="V66" s="319">
        <f t="shared" si="32"/>
        <v>4.80375</v>
      </c>
      <c r="W66" s="320"/>
      <c r="X66" s="337">
        <f t="shared" si="33"/>
        <v>1.7879015590613251E-6</v>
      </c>
      <c r="Y66" s="167"/>
      <c r="Z66" s="326">
        <f>V66/$V$601</f>
        <v>2.5905045612360714E-6</v>
      </c>
      <c r="AA66" s="635">
        <v>1</v>
      </c>
      <c r="AB66" s="638">
        <f>+W66+V66*AA66</f>
        <v>4.80375</v>
      </c>
      <c r="AC66" s="636">
        <f t="shared" si="34"/>
        <v>0</v>
      </c>
      <c r="AD66" s="292">
        <f>+V66-AB66</f>
        <v>0</v>
      </c>
      <c r="AE66" s="607" t="s">
        <v>99</v>
      </c>
      <c r="AF66" s="211"/>
    </row>
    <row r="67" spans="1:32" s="112" customFormat="1" ht="15" customHeight="1" x14ac:dyDescent="0.25">
      <c r="B67" s="178" t="s">
        <v>444</v>
      </c>
      <c r="C67" s="318"/>
      <c r="D67" s="193" t="s">
        <v>50</v>
      </c>
      <c r="E67" s="317"/>
      <c r="F67" s="321">
        <v>3</v>
      </c>
      <c r="G67" s="317"/>
      <c r="H67" s="193" t="s">
        <v>131</v>
      </c>
      <c r="I67" s="100"/>
      <c r="J67" s="321">
        <v>1</v>
      </c>
      <c r="K67" s="322"/>
      <c r="L67" s="193"/>
      <c r="M67" s="323"/>
      <c r="N67" s="323"/>
      <c r="O67" s="323"/>
      <c r="P67" s="321">
        <f>+'Staff Detail'!D57+'Staff Detail'!B50</f>
        <v>75</v>
      </c>
      <c r="Q67" s="322"/>
      <c r="R67" s="327">
        <f t="shared" si="30"/>
        <v>21.428571428571427</v>
      </c>
      <c r="S67" s="322"/>
      <c r="T67" s="319">
        <f t="shared" si="31"/>
        <v>225</v>
      </c>
      <c r="U67" s="317"/>
      <c r="V67" s="319">
        <f t="shared" si="32"/>
        <v>64.285714285714292</v>
      </c>
      <c r="W67" s="320"/>
      <c r="X67" s="337">
        <f t="shared" si="33"/>
        <v>2.3926417652209103E-5</v>
      </c>
      <c r="Y67" s="167"/>
      <c r="Z67" s="326">
        <f>V67/$V$601</f>
        <v>3.4667173787033414E-5</v>
      </c>
      <c r="AA67" s="635">
        <v>0.75</v>
      </c>
      <c r="AB67" s="638">
        <f>+W67+V67*AA67</f>
        <v>48.214285714285722</v>
      </c>
      <c r="AC67" s="636">
        <f t="shared" si="34"/>
        <v>0.24999999999999994</v>
      </c>
      <c r="AD67" s="292">
        <f>+V67-AB67</f>
        <v>16.071428571428569</v>
      </c>
      <c r="AE67" s="607" t="s">
        <v>102</v>
      </c>
      <c r="AF67" s="211"/>
    </row>
    <row r="68" spans="1:32" s="112" customFormat="1" ht="15" customHeight="1" x14ac:dyDescent="0.25">
      <c r="B68" s="178" t="s">
        <v>17</v>
      </c>
      <c r="C68" s="318"/>
      <c r="D68" s="193" t="s">
        <v>98</v>
      </c>
      <c r="E68" s="317"/>
      <c r="F68" s="321">
        <v>3</v>
      </c>
      <c r="G68" s="317"/>
      <c r="H68" s="193" t="s">
        <v>54</v>
      </c>
      <c r="I68" s="100"/>
      <c r="J68" s="321">
        <v>11.25</v>
      </c>
      <c r="K68" s="164"/>
      <c r="L68" s="193" t="s">
        <v>51</v>
      </c>
      <c r="M68" s="163"/>
      <c r="N68" s="321">
        <v>1</v>
      </c>
      <c r="O68" s="165"/>
      <c r="P68" s="321">
        <v>3.3</v>
      </c>
      <c r="Q68" s="322"/>
      <c r="R68" s="327">
        <f t="shared" si="30"/>
        <v>0.94285714285714284</v>
      </c>
      <c r="S68" s="322"/>
      <c r="T68" s="319">
        <f t="shared" si="31"/>
        <v>111.375</v>
      </c>
      <c r="U68" s="317"/>
      <c r="V68" s="319">
        <f t="shared" si="32"/>
        <v>31.821428571428573</v>
      </c>
      <c r="W68" s="320"/>
      <c r="X68" s="337">
        <f t="shared" si="33"/>
        <v>1.1843576737843506E-5</v>
      </c>
      <c r="Y68" s="167"/>
      <c r="Z68" s="326">
        <f>V68/$V$601</f>
        <v>1.7160251024581538E-5</v>
      </c>
      <c r="AA68" s="635">
        <v>0.75</v>
      </c>
      <c r="AB68" s="638">
        <f>+W68+V68*AA68</f>
        <v>23.866071428571431</v>
      </c>
      <c r="AC68" s="636">
        <f t="shared" si="34"/>
        <v>0.24999999999999997</v>
      </c>
      <c r="AD68" s="292">
        <f>+V68-AB68</f>
        <v>7.9553571428571423</v>
      </c>
      <c r="AE68" s="611" t="s">
        <v>55</v>
      </c>
      <c r="AF68" s="211"/>
    </row>
    <row r="69" spans="1:32" s="112" customFormat="1" ht="15" customHeight="1" thickBot="1" x14ac:dyDescent="0.3">
      <c r="A69" s="112" t="s">
        <v>516</v>
      </c>
      <c r="B69" s="176" t="s">
        <v>96</v>
      </c>
      <c r="C69" s="318"/>
      <c r="D69" s="324"/>
      <c r="E69" s="317"/>
      <c r="F69" s="322"/>
      <c r="G69" s="317"/>
      <c r="H69" s="324"/>
      <c r="I69" s="317"/>
      <c r="J69" s="162"/>
      <c r="K69" s="322"/>
      <c r="L69" s="323"/>
      <c r="M69" s="323"/>
      <c r="N69" s="166"/>
      <c r="O69" s="323"/>
      <c r="P69" s="322"/>
      <c r="Q69" s="322"/>
      <c r="R69" s="322"/>
      <c r="S69" s="322"/>
      <c r="T69" s="133">
        <f>SUM(T65:T68)</f>
        <v>737.48812499999997</v>
      </c>
      <c r="U69" s="133">
        <f>SUM(U65:U68)</f>
        <v>0</v>
      </c>
      <c r="V69" s="133">
        <f>SUM(V65:V68)</f>
        <v>210.71089285714285</v>
      </c>
      <c r="W69" s="134"/>
      <c r="X69" s="672">
        <f>SUM(X65:X68)</f>
        <v>7.842421729908707E-5</v>
      </c>
      <c r="Y69" s="240"/>
      <c r="Z69" s="286">
        <f>V69/$V$601</f>
        <v>1.1362946220110408E-4</v>
      </c>
      <c r="AA69" s="668"/>
      <c r="AB69" s="133">
        <f>SUM(AB65:AB68)</f>
        <v>159.23410714285717</v>
      </c>
      <c r="AC69" s="637"/>
      <c r="AD69" s="133">
        <f>SUM(AD65:AD68)</f>
        <v>51.476785714285697</v>
      </c>
      <c r="AE69" s="607"/>
      <c r="AF69" s="211"/>
    </row>
    <row r="70" spans="1:32" s="112" customFormat="1" ht="15" customHeight="1" x14ac:dyDescent="0.25">
      <c r="B70" s="177"/>
      <c r="C70" s="318"/>
      <c r="D70" s="324" t="s">
        <v>135</v>
      </c>
      <c r="E70" s="317"/>
      <c r="F70" s="322"/>
      <c r="G70" s="317"/>
      <c r="H70" s="324"/>
      <c r="I70" s="317"/>
      <c r="J70" s="162"/>
      <c r="K70" s="322"/>
      <c r="L70" s="323"/>
      <c r="M70" s="323"/>
      <c r="N70" s="166"/>
      <c r="O70" s="323"/>
      <c r="P70" s="322"/>
      <c r="Q70" s="322"/>
      <c r="R70" s="322"/>
      <c r="S70" s="322"/>
      <c r="T70" s="302"/>
      <c r="U70" s="318"/>
      <c r="V70" s="302"/>
      <c r="W70" s="134"/>
      <c r="X70" s="344"/>
      <c r="Y70" s="240"/>
      <c r="Z70" s="290"/>
      <c r="AA70" s="94"/>
      <c r="AB70" s="648"/>
      <c r="AC70" s="94"/>
      <c r="AD70" s="94"/>
      <c r="AE70" s="607"/>
      <c r="AF70" s="211"/>
    </row>
    <row r="71" spans="1:32" s="112" customFormat="1" ht="15" customHeight="1" x14ac:dyDescent="0.25">
      <c r="B71" s="177" t="s">
        <v>141</v>
      </c>
      <c r="C71" s="318"/>
      <c r="D71" s="324" t="s">
        <v>135</v>
      </c>
      <c r="E71" s="317"/>
      <c r="F71" s="322"/>
      <c r="G71" s="317"/>
      <c r="H71" s="324"/>
      <c r="I71" s="317"/>
      <c r="J71" s="162"/>
      <c r="K71" s="322"/>
      <c r="L71" s="323"/>
      <c r="M71" s="323"/>
      <c r="N71" s="166"/>
      <c r="O71" s="323"/>
      <c r="P71" s="322"/>
      <c r="Q71" s="322"/>
      <c r="R71" s="322"/>
      <c r="S71" s="322"/>
      <c r="T71" s="302"/>
      <c r="U71" s="318"/>
      <c r="V71" s="302"/>
      <c r="W71" s="134"/>
      <c r="X71" s="344"/>
      <c r="Y71" s="240"/>
      <c r="Z71" s="290"/>
      <c r="AA71" s="94"/>
      <c r="AB71" s="648"/>
      <c r="AC71" s="94"/>
      <c r="AD71" s="94"/>
      <c r="AE71" s="607"/>
      <c r="AF71" s="211"/>
    </row>
    <row r="72" spans="1:32" s="112" customFormat="1" ht="15" customHeight="1" x14ac:dyDescent="0.25">
      <c r="B72" s="177" t="s">
        <v>142</v>
      </c>
      <c r="C72" s="318"/>
      <c r="D72" s="324"/>
      <c r="E72" s="317"/>
      <c r="F72" s="322"/>
      <c r="G72" s="317"/>
      <c r="H72" s="324"/>
      <c r="I72" s="317"/>
      <c r="J72" s="162"/>
      <c r="K72" s="322"/>
      <c r="L72" s="323"/>
      <c r="M72" s="323"/>
      <c r="N72" s="166"/>
      <c r="O72" s="323"/>
      <c r="P72" s="322"/>
      <c r="Q72" s="322"/>
      <c r="R72" s="322"/>
      <c r="S72" s="322"/>
      <c r="T72" s="302"/>
      <c r="U72" s="318"/>
      <c r="V72" s="302"/>
      <c r="W72" s="134"/>
      <c r="X72" s="344"/>
      <c r="Y72" s="240"/>
      <c r="Z72" s="290"/>
      <c r="AA72" s="94"/>
      <c r="AB72" s="648"/>
      <c r="AC72" s="94"/>
      <c r="AD72" s="94"/>
      <c r="AE72" s="607"/>
      <c r="AF72" s="211"/>
    </row>
    <row r="73" spans="1:32" s="112" customFormat="1" ht="15" customHeight="1" x14ac:dyDescent="0.25">
      <c r="B73" s="178" t="s">
        <v>441</v>
      </c>
      <c r="C73" s="318"/>
      <c r="D73" s="193" t="s">
        <v>50</v>
      </c>
      <c r="E73" s="100"/>
      <c r="F73" s="321">
        <v>1</v>
      </c>
      <c r="G73" s="94"/>
      <c r="H73" s="193" t="s">
        <v>51</v>
      </c>
      <c r="I73" s="100"/>
      <c r="J73" s="321">
        <v>1</v>
      </c>
      <c r="K73" s="164"/>
      <c r="L73" s="193"/>
      <c r="M73" s="317"/>
      <c r="N73" s="323"/>
      <c r="O73" s="323"/>
      <c r="P73" s="321">
        <f>+'Staff Detail'!B26</f>
        <v>320.96027397260275</v>
      </c>
      <c r="Q73" s="322"/>
      <c r="R73" s="327">
        <f t="shared" ref="R73:R88" si="35">P73/$V$6</f>
        <v>91.702935420743643</v>
      </c>
      <c r="S73" s="322"/>
      <c r="T73" s="319">
        <f t="shared" ref="T73:T88" si="36">IF(N73=0,IF(J73=0,F73*P73,F73*J73*P73),F73*J73*N73*P73)</f>
        <v>320.96027397260275</v>
      </c>
      <c r="U73" s="317"/>
      <c r="V73" s="319">
        <f t="shared" ref="V73:V88" si="37">T73/$V$6</f>
        <v>91.702935420743643</v>
      </c>
      <c r="W73" s="320"/>
      <c r="X73" s="337">
        <f t="shared" ref="X73:X88" si="38">V73/$V$3</f>
        <v>3.4130798065937568E-5</v>
      </c>
      <c r="Y73" s="167"/>
      <c r="Z73" s="326">
        <f t="shared" ref="Z73:Z78" si="39">V73/$V$601</f>
        <v>4.9452380429075889E-5</v>
      </c>
      <c r="AA73" s="635">
        <v>0.5</v>
      </c>
      <c r="AB73" s="638">
        <f t="shared" ref="AB73:AB78" si="40">+W73+V73*AA73</f>
        <v>45.851467710371821</v>
      </c>
      <c r="AC73" s="636">
        <f t="shared" ref="AC73:AC88" si="41">+AD73/V73</f>
        <v>0.5</v>
      </c>
      <c r="AD73" s="292">
        <f t="shared" ref="AD73:AD78" si="42">+V73-AB73</f>
        <v>45.851467710371821</v>
      </c>
      <c r="AE73" s="607" t="s">
        <v>99</v>
      </c>
      <c r="AF73" s="211"/>
    </row>
    <row r="74" spans="1:32" s="112" customFormat="1" ht="15" customHeight="1" x14ac:dyDescent="0.25">
      <c r="B74" s="178" t="s">
        <v>493</v>
      </c>
      <c r="C74" s="318"/>
      <c r="D74" s="193" t="s">
        <v>50</v>
      </c>
      <c r="E74" s="100"/>
      <c r="F74" s="606">
        <v>0</v>
      </c>
      <c r="G74" s="94"/>
      <c r="H74" s="193" t="s">
        <v>51</v>
      </c>
      <c r="I74" s="100"/>
      <c r="J74" s="321">
        <v>1</v>
      </c>
      <c r="K74" s="164"/>
      <c r="L74" s="193"/>
      <c r="M74" s="317"/>
      <c r="N74" s="323"/>
      <c r="O74" s="323"/>
      <c r="P74" s="481">
        <f>'Staff Detail'!B21</f>
        <v>119.56</v>
      </c>
      <c r="Q74" s="322"/>
      <c r="R74" s="484">
        <f t="shared" si="35"/>
        <v>34.160000000000004</v>
      </c>
      <c r="S74" s="322"/>
      <c r="T74" s="319">
        <f t="shared" si="36"/>
        <v>0</v>
      </c>
      <c r="U74" s="317"/>
      <c r="V74" s="319">
        <f t="shared" si="37"/>
        <v>0</v>
      </c>
      <c r="W74" s="320"/>
      <c r="X74" s="337">
        <f t="shared" si="38"/>
        <v>0</v>
      </c>
      <c r="Y74" s="167"/>
      <c r="Z74" s="326">
        <f t="shared" si="39"/>
        <v>0</v>
      </c>
      <c r="AA74" s="635">
        <v>0</v>
      </c>
      <c r="AB74" s="638">
        <f t="shared" si="40"/>
        <v>0</v>
      </c>
      <c r="AC74" s="636" t="e">
        <f t="shared" si="41"/>
        <v>#DIV/0!</v>
      </c>
      <c r="AD74" s="292">
        <f t="shared" si="42"/>
        <v>0</v>
      </c>
      <c r="AE74" s="607" t="s">
        <v>99</v>
      </c>
      <c r="AF74" s="211"/>
    </row>
    <row r="75" spans="1:32" s="112" customFormat="1" ht="15" customHeight="1" x14ac:dyDescent="0.25">
      <c r="B75" s="178" t="s">
        <v>439</v>
      </c>
      <c r="C75" s="318"/>
      <c r="D75" s="193" t="s">
        <v>50</v>
      </c>
      <c r="E75" s="100"/>
      <c r="F75" s="321">
        <v>1</v>
      </c>
      <c r="G75" s="94"/>
      <c r="H75" s="193" t="s">
        <v>51</v>
      </c>
      <c r="I75" s="100"/>
      <c r="J75" s="321">
        <v>1</v>
      </c>
      <c r="K75" s="164"/>
      <c r="L75" s="193"/>
      <c r="M75" s="317"/>
      <c r="N75" s="323"/>
      <c r="O75" s="323"/>
      <c r="P75" s="481">
        <f>'Staff Detail'!B8</f>
        <v>128.1</v>
      </c>
      <c r="Q75" s="322"/>
      <c r="R75" s="484">
        <f t="shared" si="35"/>
        <v>36.6</v>
      </c>
      <c r="S75" s="322"/>
      <c r="T75" s="319">
        <f t="shared" si="36"/>
        <v>128.1</v>
      </c>
      <c r="U75" s="317"/>
      <c r="V75" s="319">
        <f t="shared" si="37"/>
        <v>36.6</v>
      </c>
      <c r="W75" s="320"/>
      <c r="X75" s="337">
        <f t="shared" si="38"/>
        <v>1.3622107116657716E-5</v>
      </c>
      <c r="Y75" s="167"/>
      <c r="Z75" s="326">
        <f t="shared" si="39"/>
        <v>1.973717760941769E-5</v>
      </c>
      <c r="AA75" s="635">
        <v>1</v>
      </c>
      <c r="AB75" s="638">
        <f t="shared" si="40"/>
        <v>36.6</v>
      </c>
      <c r="AC75" s="636">
        <f t="shared" si="41"/>
        <v>0</v>
      </c>
      <c r="AD75" s="292">
        <f t="shared" si="42"/>
        <v>0</v>
      </c>
      <c r="AE75" s="607" t="s">
        <v>99</v>
      </c>
      <c r="AF75" s="211"/>
    </row>
    <row r="76" spans="1:32" s="112" customFormat="1" ht="15" customHeight="1" x14ac:dyDescent="0.25">
      <c r="B76" s="178" t="s">
        <v>494</v>
      </c>
      <c r="C76" s="318"/>
      <c r="D76" s="193" t="s">
        <v>50</v>
      </c>
      <c r="E76" s="100"/>
      <c r="F76" s="321">
        <v>1</v>
      </c>
      <c r="G76" s="94"/>
      <c r="H76" s="193" t="s">
        <v>51</v>
      </c>
      <c r="I76" s="100"/>
      <c r="J76" s="321">
        <v>1</v>
      </c>
      <c r="K76" s="164"/>
      <c r="L76" s="193"/>
      <c r="M76" s="317"/>
      <c r="N76" s="323"/>
      <c r="O76" s="323"/>
      <c r="P76" s="481">
        <f>+'Staff Detail'!B9</f>
        <v>119.56</v>
      </c>
      <c r="Q76" s="322"/>
      <c r="R76" s="484">
        <f t="shared" si="35"/>
        <v>34.160000000000004</v>
      </c>
      <c r="S76" s="322"/>
      <c r="T76" s="319">
        <f t="shared" si="36"/>
        <v>119.56</v>
      </c>
      <c r="U76" s="317"/>
      <c r="V76" s="319">
        <f t="shared" si="37"/>
        <v>34.160000000000004</v>
      </c>
      <c r="W76" s="320"/>
      <c r="X76" s="337">
        <f t="shared" si="38"/>
        <v>1.271396664221387E-5</v>
      </c>
      <c r="Y76" s="167"/>
      <c r="Z76" s="326">
        <f t="shared" si="39"/>
        <v>1.8421365768789845E-5</v>
      </c>
      <c r="AA76" s="635">
        <v>1</v>
      </c>
      <c r="AB76" s="638">
        <f t="shared" si="40"/>
        <v>34.160000000000004</v>
      </c>
      <c r="AC76" s="636">
        <f t="shared" si="41"/>
        <v>0</v>
      </c>
      <c r="AD76" s="292">
        <f t="shared" si="42"/>
        <v>0</v>
      </c>
      <c r="AE76" s="607" t="s">
        <v>99</v>
      </c>
      <c r="AF76" s="211"/>
    </row>
    <row r="77" spans="1:32" s="112" customFormat="1" ht="15" customHeight="1" x14ac:dyDescent="0.25">
      <c r="B77" s="178" t="s">
        <v>440</v>
      </c>
      <c r="C77" s="318"/>
      <c r="D77" s="193" t="s">
        <v>50</v>
      </c>
      <c r="E77" s="100"/>
      <c r="F77" s="321">
        <v>1</v>
      </c>
      <c r="G77" s="94"/>
      <c r="H77" s="193" t="s">
        <v>51</v>
      </c>
      <c r="I77" s="100"/>
      <c r="J77" s="321">
        <v>1</v>
      </c>
      <c r="K77" s="164"/>
      <c r="L77" s="193"/>
      <c r="M77" s="317"/>
      <c r="N77" s="323"/>
      <c r="O77" s="323"/>
      <c r="P77" s="481">
        <f>+'Staff Detail'!B14</f>
        <v>128.1</v>
      </c>
      <c r="Q77" s="322"/>
      <c r="R77" s="484">
        <f t="shared" si="35"/>
        <v>36.6</v>
      </c>
      <c r="S77" s="322"/>
      <c r="T77" s="319">
        <f t="shared" si="36"/>
        <v>128.1</v>
      </c>
      <c r="U77" s="317"/>
      <c r="V77" s="319">
        <f t="shared" si="37"/>
        <v>36.6</v>
      </c>
      <c r="W77" s="320"/>
      <c r="X77" s="337">
        <f t="shared" si="38"/>
        <v>1.3622107116657716E-5</v>
      </c>
      <c r="Y77" s="167"/>
      <c r="Z77" s="326">
        <f t="shared" si="39"/>
        <v>1.973717760941769E-5</v>
      </c>
      <c r="AA77" s="635">
        <v>1</v>
      </c>
      <c r="AB77" s="638">
        <f t="shared" si="40"/>
        <v>36.6</v>
      </c>
      <c r="AC77" s="636">
        <f t="shared" si="41"/>
        <v>0</v>
      </c>
      <c r="AD77" s="292">
        <f t="shared" si="42"/>
        <v>0</v>
      </c>
      <c r="AE77" s="607" t="s">
        <v>99</v>
      </c>
      <c r="AF77" s="211"/>
    </row>
    <row r="78" spans="1:32" s="112" customFormat="1" ht="15" customHeight="1" x14ac:dyDescent="0.25">
      <c r="B78" s="178" t="s">
        <v>495</v>
      </c>
      <c r="C78" s="318"/>
      <c r="D78" s="193" t="s">
        <v>50</v>
      </c>
      <c r="E78" s="100"/>
      <c r="F78" s="321">
        <v>1</v>
      </c>
      <c r="G78" s="94"/>
      <c r="H78" s="193" t="s">
        <v>51</v>
      </c>
      <c r="I78" s="100"/>
      <c r="J78" s="321">
        <v>1</v>
      </c>
      <c r="K78" s="164"/>
      <c r="L78" s="193"/>
      <c r="M78" s="317"/>
      <c r="N78" s="323"/>
      <c r="O78" s="323"/>
      <c r="P78" s="481">
        <f>+'Staff Detail'!B21</f>
        <v>119.56</v>
      </c>
      <c r="Q78" s="322"/>
      <c r="R78" s="484">
        <f t="shared" si="35"/>
        <v>34.160000000000004</v>
      </c>
      <c r="S78" s="322"/>
      <c r="T78" s="319">
        <f t="shared" si="36"/>
        <v>119.56</v>
      </c>
      <c r="U78" s="317"/>
      <c r="V78" s="319">
        <f t="shared" si="37"/>
        <v>34.160000000000004</v>
      </c>
      <c r="W78" s="320"/>
      <c r="X78" s="337">
        <f t="shared" si="38"/>
        <v>1.271396664221387E-5</v>
      </c>
      <c r="Y78" s="167"/>
      <c r="Z78" s="326">
        <f t="shared" si="39"/>
        <v>1.8421365768789845E-5</v>
      </c>
      <c r="AA78" s="635">
        <v>1</v>
      </c>
      <c r="AB78" s="638">
        <f t="shared" si="40"/>
        <v>34.160000000000004</v>
      </c>
      <c r="AC78" s="636">
        <f t="shared" si="41"/>
        <v>0</v>
      </c>
      <c r="AD78" s="292">
        <f t="shared" si="42"/>
        <v>0</v>
      </c>
      <c r="AE78" s="607" t="s">
        <v>99</v>
      </c>
      <c r="AF78" s="211"/>
    </row>
    <row r="79" spans="1:32" s="112" customFormat="1" ht="15" customHeight="1" x14ac:dyDescent="0.25">
      <c r="B79" s="178"/>
      <c r="C79" s="318"/>
      <c r="D79" s="193"/>
      <c r="E79" s="100"/>
      <c r="F79" s="321"/>
      <c r="G79" s="94"/>
      <c r="H79" s="193"/>
      <c r="I79" s="100"/>
      <c r="J79" s="321"/>
      <c r="K79" s="164"/>
      <c r="L79" s="193"/>
      <c r="M79" s="317"/>
      <c r="N79" s="323"/>
      <c r="O79" s="323"/>
      <c r="P79" s="481"/>
      <c r="Q79" s="322"/>
      <c r="R79" s="484"/>
      <c r="S79" s="322"/>
      <c r="T79" s="319"/>
      <c r="U79" s="317"/>
      <c r="V79" s="319"/>
      <c r="W79" s="320"/>
      <c r="X79" s="337"/>
      <c r="Y79" s="167"/>
      <c r="Z79" s="326"/>
      <c r="AA79" s="635"/>
      <c r="AB79" s="638"/>
      <c r="AC79" s="636"/>
      <c r="AD79" s="292"/>
      <c r="AE79" s="607"/>
      <c r="AF79" s="211"/>
    </row>
    <row r="80" spans="1:32" s="595" customFormat="1" ht="15" customHeight="1" x14ac:dyDescent="0.25">
      <c r="B80" s="799" t="s">
        <v>508</v>
      </c>
      <c r="C80" s="478"/>
      <c r="D80" s="479"/>
      <c r="E80" s="482"/>
      <c r="F80" s="481"/>
      <c r="G80" s="659"/>
      <c r="H80" s="479"/>
      <c r="I80" s="482"/>
      <c r="J80" s="481"/>
      <c r="K80" s="541"/>
      <c r="L80" s="479"/>
      <c r="M80" s="480"/>
      <c r="N80" s="478"/>
      <c r="O80" s="478"/>
      <c r="P80" s="481"/>
      <c r="Q80" s="483"/>
      <c r="R80" s="484"/>
      <c r="S80" s="608"/>
      <c r="T80" s="472"/>
      <c r="U80" s="607"/>
      <c r="V80" s="472"/>
      <c r="W80" s="609"/>
      <c r="X80" s="769"/>
      <c r="Y80" s="770"/>
      <c r="Z80" s="473"/>
      <c r="AA80" s="771"/>
      <c r="AB80" s="772"/>
      <c r="AC80" s="773"/>
      <c r="AD80" s="608"/>
      <c r="AE80" s="607"/>
      <c r="AF80" s="610"/>
    </row>
    <row r="81" spans="1:32" s="595" customFormat="1" ht="15" customHeight="1" x14ac:dyDescent="0.25">
      <c r="B81" s="178" t="s">
        <v>140</v>
      </c>
      <c r="C81" s="478"/>
      <c r="D81" s="479" t="s">
        <v>50</v>
      </c>
      <c r="E81" s="482"/>
      <c r="F81" s="481">
        <v>3</v>
      </c>
      <c r="G81" s="659"/>
      <c r="H81" s="479" t="s">
        <v>51</v>
      </c>
      <c r="I81" s="482"/>
      <c r="J81" s="481">
        <v>41.6</v>
      </c>
      <c r="K81" s="541"/>
      <c r="L81" s="479"/>
      <c r="M81" s="480"/>
      <c r="N81" s="478"/>
      <c r="O81" s="478"/>
      <c r="P81" s="481">
        <f>+P75</f>
        <v>128.1</v>
      </c>
      <c r="Q81" s="483"/>
      <c r="R81" s="484">
        <f t="shared" ref="R81:R83" si="43">P81/$V$6</f>
        <v>36.6</v>
      </c>
      <c r="S81" s="322"/>
      <c r="T81" s="319">
        <f t="shared" ref="T81:T82" si="44">IF(N81=0,IF(J81=0,F81*P81,F81*J81*P81),F81*J81*N81*P81)</f>
        <v>15986.880000000001</v>
      </c>
      <c r="U81" s="317"/>
      <c r="V81" s="319">
        <f t="shared" ref="V81:V82" si="45">T81/$V$6</f>
        <v>4567.68</v>
      </c>
      <c r="W81" s="320"/>
      <c r="X81" s="337">
        <f t="shared" ref="X81:X82" si="46">V81/$V$3</f>
        <v>1.700038968158883E-3</v>
      </c>
      <c r="Y81" s="167"/>
      <c r="Z81" s="326">
        <f>V81/$V$601</f>
        <v>2.4631997656553275E-3</v>
      </c>
      <c r="AA81" s="635">
        <v>0</v>
      </c>
      <c r="AB81" s="638">
        <f>+W81+V81*AA81</f>
        <v>0</v>
      </c>
      <c r="AC81" s="636">
        <f t="shared" ref="AC81:AC82" si="47">+AD81/V81</f>
        <v>1</v>
      </c>
      <c r="AD81" s="292">
        <f>+V81-AB81</f>
        <v>4567.68</v>
      </c>
      <c r="AE81" s="607" t="s">
        <v>99</v>
      </c>
      <c r="AF81" s="610"/>
    </row>
    <row r="82" spans="1:32" s="595" customFormat="1" ht="15" customHeight="1" x14ac:dyDescent="0.25">
      <c r="B82" s="178" t="s">
        <v>496</v>
      </c>
      <c r="C82" s="478"/>
      <c r="D82" s="479" t="s">
        <v>50</v>
      </c>
      <c r="E82" s="482"/>
      <c r="F82" s="481">
        <v>3</v>
      </c>
      <c r="G82" s="659"/>
      <c r="H82" s="479" t="s">
        <v>51</v>
      </c>
      <c r="I82" s="482"/>
      <c r="J82" s="481">
        <f>+J81</f>
        <v>41.6</v>
      </c>
      <c r="K82" s="541"/>
      <c r="L82" s="479"/>
      <c r="M82" s="480"/>
      <c r="N82" s="478"/>
      <c r="O82" s="478"/>
      <c r="P82" s="481">
        <f>+P76</f>
        <v>119.56</v>
      </c>
      <c r="Q82" s="483"/>
      <c r="R82" s="484">
        <f t="shared" si="43"/>
        <v>34.160000000000004</v>
      </c>
      <c r="S82" s="322"/>
      <c r="T82" s="319">
        <f t="shared" si="44"/>
        <v>14921.088000000002</v>
      </c>
      <c r="U82" s="317"/>
      <c r="V82" s="319">
        <f t="shared" si="45"/>
        <v>4263.1680000000006</v>
      </c>
      <c r="W82" s="320"/>
      <c r="X82" s="337">
        <f t="shared" si="46"/>
        <v>1.5867030369482909E-3</v>
      </c>
      <c r="Y82" s="167"/>
      <c r="Z82" s="326">
        <f>V82/$V$601</f>
        <v>2.2989864479449726E-3</v>
      </c>
      <c r="AA82" s="635">
        <v>0</v>
      </c>
      <c r="AB82" s="638">
        <f>+W82+V82*AA82</f>
        <v>0</v>
      </c>
      <c r="AC82" s="636">
        <f t="shared" si="47"/>
        <v>1</v>
      </c>
      <c r="AD82" s="292">
        <f>+V82-AB82</f>
        <v>4263.1680000000006</v>
      </c>
      <c r="AE82" s="607" t="s">
        <v>99</v>
      </c>
      <c r="AF82" s="610"/>
    </row>
    <row r="83" spans="1:32" s="595" customFormat="1" ht="15" customHeight="1" x14ac:dyDescent="0.25">
      <c r="B83" s="178" t="s">
        <v>487</v>
      </c>
      <c r="C83" s="478"/>
      <c r="D83" s="479" t="s">
        <v>268</v>
      </c>
      <c r="E83" s="482"/>
      <c r="F83" s="481">
        <v>3</v>
      </c>
      <c r="G83" s="659"/>
      <c r="H83" s="479"/>
      <c r="I83" s="482"/>
      <c r="J83" s="481"/>
      <c r="K83" s="541"/>
      <c r="L83" s="479"/>
      <c r="M83" s="480"/>
      <c r="N83" s="478"/>
      <c r="O83" s="478"/>
      <c r="P83" s="481">
        <v>250</v>
      </c>
      <c r="Q83" s="483"/>
      <c r="R83" s="484">
        <f t="shared" si="43"/>
        <v>71.428571428571431</v>
      </c>
      <c r="S83" s="322"/>
      <c r="T83" s="319">
        <f t="shared" ref="T83" si="48">IF(N83=0,IF(J83=0,F83*P83,F83*J83*P83),F83*J83*N83*P83)</f>
        <v>750</v>
      </c>
      <c r="U83" s="317"/>
      <c r="V83" s="319">
        <f t="shared" ref="V83" si="49">T83/$V$6</f>
        <v>214.28571428571428</v>
      </c>
      <c r="W83" s="320"/>
      <c r="X83" s="337">
        <f t="shared" ref="X83" si="50">V83/$V$3</f>
        <v>7.9754725507363668E-5</v>
      </c>
      <c r="Y83" s="167"/>
      <c r="Z83" s="326">
        <f>V83/$V$601</f>
        <v>1.1555724595677803E-4</v>
      </c>
      <c r="AA83" s="635">
        <v>0</v>
      </c>
      <c r="AB83" s="638">
        <f>+W83+V83*AA83</f>
        <v>0</v>
      </c>
      <c r="AC83" s="636">
        <f t="shared" ref="AC83" si="51">+AD83/V83</f>
        <v>1</v>
      </c>
      <c r="AD83" s="292">
        <f>+V83-AB83</f>
        <v>214.28571428571428</v>
      </c>
      <c r="AE83" s="607" t="s">
        <v>99</v>
      </c>
      <c r="AF83" s="610"/>
    </row>
    <row r="84" spans="1:32" s="112" customFormat="1" ht="15" customHeight="1" x14ac:dyDescent="0.25">
      <c r="B84" s="178"/>
      <c r="C84" s="318"/>
      <c r="D84" s="193"/>
      <c r="E84" s="100"/>
      <c r="F84" s="321"/>
      <c r="G84" s="94"/>
      <c r="H84" s="193"/>
      <c r="I84" s="100"/>
      <c r="J84" s="321"/>
      <c r="K84" s="164"/>
      <c r="L84" s="193"/>
      <c r="M84" s="317"/>
      <c r="N84" s="323"/>
      <c r="O84" s="323"/>
      <c r="P84" s="481"/>
      <c r="Q84" s="322"/>
      <c r="R84" s="484"/>
      <c r="S84" s="322"/>
      <c r="T84" s="319"/>
      <c r="U84" s="317"/>
      <c r="V84" s="319"/>
      <c r="W84" s="320"/>
      <c r="X84" s="337"/>
      <c r="Y84" s="167"/>
      <c r="Z84" s="326"/>
      <c r="AA84" s="635"/>
      <c r="AB84" s="638"/>
      <c r="AC84" s="636"/>
      <c r="AD84" s="292"/>
      <c r="AE84" s="607"/>
      <c r="AF84" s="211"/>
    </row>
    <row r="85" spans="1:32" s="112" customFormat="1" ht="15" customHeight="1" x14ac:dyDescent="0.25">
      <c r="B85" s="178" t="s">
        <v>240</v>
      </c>
      <c r="C85" s="318"/>
      <c r="D85" s="193" t="s">
        <v>50</v>
      </c>
      <c r="E85" s="100"/>
      <c r="F85" s="321">
        <v>3</v>
      </c>
      <c r="G85" s="94"/>
      <c r="H85" s="193" t="s">
        <v>51</v>
      </c>
      <c r="I85" s="100"/>
      <c r="J85" s="800">
        <v>1</v>
      </c>
      <c r="K85" s="164"/>
      <c r="L85" s="193"/>
      <c r="M85" s="317"/>
      <c r="N85" s="323"/>
      <c r="O85" s="323"/>
      <c r="P85" s="481">
        <f>+'Staff Detail'!B16</f>
        <v>89.67</v>
      </c>
      <c r="Q85" s="322"/>
      <c r="R85" s="484">
        <f t="shared" ref="R85" si="52">P85/$V$6</f>
        <v>25.62</v>
      </c>
      <c r="S85" s="322"/>
      <c r="T85" s="319">
        <f t="shared" ref="T85" si="53">IF(N85=0,IF(J85=0,F85*P85,F85*J85*P85),F85*J85*N85*P85)</f>
        <v>269.01</v>
      </c>
      <c r="U85" s="317"/>
      <c r="V85" s="319">
        <f t="shared" ref="V85" si="54">T85/$V$6</f>
        <v>76.86</v>
      </c>
      <c r="W85" s="320"/>
      <c r="X85" s="337">
        <f t="shared" ref="X85" si="55">V85/$V$3</f>
        <v>2.8606424944981201E-5</v>
      </c>
      <c r="Y85" s="167"/>
      <c r="Z85" s="326">
        <f>V85/$V$601</f>
        <v>4.1448072979777143E-5</v>
      </c>
      <c r="AA85" s="635">
        <v>0</v>
      </c>
      <c r="AB85" s="638">
        <f>+W85+V85*AA85</f>
        <v>0</v>
      </c>
      <c r="AC85" s="636">
        <f t="shared" ref="AC85" si="56">+AD85/V85</f>
        <v>1</v>
      </c>
      <c r="AD85" s="292">
        <f>+V85-AB85</f>
        <v>76.86</v>
      </c>
      <c r="AE85" s="607" t="s">
        <v>99</v>
      </c>
      <c r="AF85" s="211"/>
    </row>
    <row r="86" spans="1:32" s="112" customFormat="1" ht="15" customHeight="1" x14ac:dyDescent="0.25">
      <c r="B86" s="178" t="s">
        <v>444</v>
      </c>
      <c r="C86" s="318"/>
      <c r="D86" s="193" t="s">
        <v>50</v>
      </c>
      <c r="E86" s="317"/>
      <c r="F86" s="321">
        <f>+SUM(F81:F83)</f>
        <v>9</v>
      </c>
      <c r="G86" s="317"/>
      <c r="H86" s="193" t="s">
        <v>131</v>
      </c>
      <c r="I86" s="100"/>
      <c r="J86" s="321">
        <v>1</v>
      </c>
      <c r="K86" s="322"/>
      <c r="L86" s="193"/>
      <c r="M86" s="323"/>
      <c r="N86" s="323"/>
      <c r="O86" s="323"/>
      <c r="P86" s="321">
        <f>+'Staff Detail'!B50</f>
        <v>75</v>
      </c>
      <c r="Q86" s="322"/>
      <c r="R86" s="327">
        <f t="shared" si="35"/>
        <v>21.428571428571427</v>
      </c>
      <c r="S86" s="322"/>
      <c r="T86" s="319">
        <f t="shared" si="36"/>
        <v>675</v>
      </c>
      <c r="U86" s="317"/>
      <c r="V86" s="319">
        <f t="shared" si="37"/>
        <v>192.85714285714286</v>
      </c>
      <c r="W86" s="320"/>
      <c r="X86" s="337">
        <f t="shared" si="38"/>
        <v>7.1779252956627302E-5</v>
      </c>
      <c r="Y86" s="167"/>
      <c r="Z86" s="326">
        <f>V86/$V$601</f>
        <v>1.0400152136110023E-4</v>
      </c>
      <c r="AA86" s="635">
        <v>0</v>
      </c>
      <c r="AB86" s="638">
        <f>+W86+V86*AA86</f>
        <v>0</v>
      </c>
      <c r="AC86" s="636">
        <f t="shared" si="41"/>
        <v>1</v>
      </c>
      <c r="AD86" s="292">
        <f>+V86-AB86</f>
        <v>192.85714285714286</v>
      </c>
      <c r="AE86" s="607" t="s">
        <v>102</v>
      </c>
      <c r="AF86" s="211"/>
    </row>
    <row r="87" spans="1:32" s="112" customFormat="1" ht="15" customHeight="1" x14ac:dyDescent="0.25">
      <c r="B87" s="178" t="s">
        <v>16</v>
      </c>
      <c r="C87" s="318"/>
      <c r="D87" s="193" t="s">
        <v>50</v>
      </c>
      <c r="E87" s="317"/>
      <c r="F87" s="321">
        <f>+SUM(F81:F83)</f>
        <v>9</v>
      </c>
      <c r="G87" s="317"/>
      <c r="H87" s="193" t="s">
        <v>131</v>
      </c>
      <c r="I87" s="100"/>
      <c r="J87" s="321">
        <v>1</v>
      </c>
      <c r="K87" s="164"/>
      <c r="L87" s="193"/>
      <c r="M87" s="163"/>
      <c r="N87" s="323"/>
      <c r="O87" s="165"/>
      <c r="P87" s="321">
        <v>15</v>
      </c>
      <c r="Q87" s="322"/>
      <c r="R87" s="327">
        <f t="shared" si="35"/>
        <v>4.2857142857142856</v>
      </c>
      <c r="S87" s="322"/>
      <c r="T87" s="319">
        <f t="shared" si="36"/>
        <v>135</v>
      </c>
      <c r="U87" s="317"/>
      <c r="V87" s="319">
        <f t="shared" si="37"/>
        <v>38.571428571428569</v>
      </c>
      <c r="W87" s="320"/>
      <c r="X87" s="337">
        <f t="shared" si="38"/>
        <v>1.435585059132546E-5</v>
      </c>
      <c r="Y87" s="167"/>
      <c r="Z87" s="326">
        <f>V87/$V$601</f>
        <v>2.0800304272220044E-5</v>
      </c>
      <c r="AA87" s="635">
        <v>0</v>
      </c>
      <c r="AB87" s="638">
        <f>+W87+V87*AA87</f>
        <v>0</v>
      </c>
      <c r="AC87" s="636">
        <f t="shared" si="41"/>
        <v>1</v>
      </c>
      <c r="AD87" s="292">
        <f>+V87-AB87</f>
        <v>38.571428571428569</v>
      </c>
      <c r="AE87" s="607" t="s">
        <v>102</v>
      </c>
      <c r="AF87" s="211"/>
    </row>
    <row r="88" spans="1:32" s="112" customFormat="1" ht="15" customHeight="1" x14ac:dyDescent="0.25">
      <c r="B88" s="178" t="s">
        <v>17</v>
      </c>
      <c r="C88" s="318"/>
      <c r="D88" s="193" t="s">
        <v>98</v>
      </c>
      <c r="E88" s="317"/>
      <c r="F88" s="321">
        <v>3</v>
      </c>
      <c r="G88" s="317"/>
      <c r="H88" s="193" t="s">
        <v>54</v>
      </c>
      <c r="I88" s="100"/>
      <c r="J88" s="321">
        <v>43</v>
      </c>
      <c r="K88" s="164"/>
      <c r="L88" s="193" t="s">
        <v>51</v>
      </c>
      <c r="M88" s="163"/>
      <c r="N88" s="321">
        <v>42</v>
      </c>
      <c r="O88" s="165"/>
      <c r="P88" s="321">
        <v>3.3</v>
      </c>
      <c r="Q88" s="322"/>
      <c r="R88" s="327">
        <f t="shared" si="35"/>
        <v>0.94285714285714284</v>
      </c>
      <c r="S88" s="322"/>
      <c r="T88" s="319">
        <f t="shared" si="36"/>
        <v>17879.399999999998</v>
      </c>
      <c r="U88" s="317"/>
      <c r="V88" s="319">
        <f t="shared" si="37"/>
        <v>5108.3999999999996</v>
      </c>
      <c r="W88" s="320"/>
      <c r="X88" s="337">
        <f t="shared" si="38"/>
        <v>1.9012888523151439E-3</v>
      </c>
      <c r="Y88" s="167"/>
      <c r="Z88" s="326">
        <f>V88/$V$601</f>
        <v>2.7547922978128228E-3</v>
      </c>
      <c r="AA88" s="635">
        <v>0</v>
      </c>
      <c r="AB88" s="638">
        <f>+W88+V88*AA88</f>
        <v>0</v>
      </c>
      <c r="AC88" s="636">
        <f t="shared" si="41"/>
        <v>1</v>
      </c>
      <c r="AD88" s="292">
        <f>+V88-AB88</f>
        <v>5108.3999999999996</v>
      </c>
      <c r="AE88" s="611" t="s">
        <v>55</v>
      </c>
      <c r="AF88" s="211"/>
    </row>
    <row r="89" spans="1:32" s="112" customFormat="1" ht="15" customHeight="1" thickBot="1" x14ac:dyDescent="0.3">
      <c r="A89" s="112" t="s">
        <v>517</v>
      </c>
      <c r="B89" s="176" t="s">
        <v>96</v>
      </c>
      <c r="C89" s="318"/>
      <c r="D89" s="324"/>
      <c r="E89" s="317"/>
      <c r="F89" s="322"/>
      <c r="G89" s="317"/>
      <c r="H89" s="324"/>
      <c r="I89" s="317"/>
      <c r="J89" s="162"/>
      <c r="K89" s="322"/>
      <c r="L89" s="323"/>
      <c r="M89" s="323"/>
      <c r="N89" s="166"/>
      <c r="O89" s="323"/>
      <c r="P89" s="322"/>
      <c r="Q89" s="322"/>
      <c r="R89" s="322"/>
      <c r="S89" s="322"/>
      <c r="T89" s="133">
        <f>SUM(T73:T88)</f>
        <v>51432.6582739726</v>
      </c>
      <c r="U89" s="318"/>
      <c r="V89" s="133">
        <f>SUM(V73:V88)</f>
        <v>14695.045221135031</v>
      </c>
      <c r="W89" s="134"/>
      <c r="X89" s="672">
        <f>SUM(X73:X88)</f>
        <v>5.4693300570062961E-3</v>
      </c>
      <c r="Y89" s="240"/>
      <c r="Z89" s="286">
        <f>V89/$V$601</f>
        <v>7.9245551231684908E-3</v>
      </c>
      <c r="AA89" s="668"/>
      <c r="AB89" s="133">
        <f>SUM(AB73:AB88)</f>
        <v>187.3714677103718</v>
      </c>
      <c r="AC89" s="637"/>
      <c r="AD89" s="133">
        <f>SUM(AD73:AD88)</f>
        <v>14507.673753424659</v>
      </c>
      <c r="AE89" s="607"/>
      <c r="AF89" s="211"/>
    </row>
    <row r="90" spans="1:32" s="112" customFormat="1" ht="15" customHeight="1" x14ac:dyDescent="0.25">
      <c r="B90" s="177"/>
      <c r="C90" s="318"/>
      <c r="D90" s="324"/>
      <c r="E90" s="317"/>
      <c r="F90" s="322"/>
      <c r="G90" s="317"/>
      <c r="H90" s="324"/>
      <c r="I90" s="317"/>
      <c r="J90" s="162"/>
      <c r="K90" s="322"/>
      <c r="L90" s="323"/>
      <c r="M90" s="323"/>
      <c r="N90" s="166"/>
      <c r="O90" s="323"/>
      <c r="P90" s="322"/>
      <c r="Q90" s="322"/>
      <c r="R90" s="322"/>
      <c r="S90" s="322"/>
      <c r="T90" s="302"/>
      <c r="U90" s="318"/>
      <c r="V90" s="302"/>
      <c r="W90" s="134"/>
      <c r="X90" s="344"/>
      <c r="Y90" s="240"/>
      <c r="Z90" s="290"/>
      <c r="AA90" s="94"/>
      <c r="AB90" s="648"/>
      <c r="AC90" s="94"/>
      <c r="AD90" s="94"/>
      <c r="AE90" s="607"/>
      <c r="AF90" s="211"/>
    </row>
    <row r="91" spans="1:32" s="112" customFormat="1" ht="15" customHeight="1" x14ac:dyDescent="0.25">
      <c r="B91" s="177" t="s">
        <v>143</v>
      </c>
      <c r="C91" s="318"/>
      <c r="D91" s="324"/>
      <c r="E91" s="317"/>
      <c r="F91" s="322"/>
      <c r="G91" s="317"/>
      <c r="H91" s="324" t="s">
        <v>135</v>
      </c>
      <c r="I91" s="317"/>
      <c r="J91" s="162"/>
      <c r="K91" s="322"/>
      <c r="L91" s="323"/>
      <c r="M91" s="323"/>
      <c r="N91" s="166"/>
      <c r="O91" s="323"/>
      <c r="P91" s="322"/>
      <c r="Q91" s="322"/>
      <c r="R91" s="322"/>
      <c r="S91" s="322"/>
      <c r="T91" s="302"/>
      <c r="U91" s="318"/>
      <c r="V91" s="302"/>
      <c r="W91" s="134"/>
      <c r="X91" s="344"/>
      <c r="Y91" s="240"/>
      <c r="Z91" s="290"/>
      <c r="AA91" s="94"/>
      <c r="AB91" s="638"/>
      <c r="AC91" s="94"/>
      <c r="AD91" s="94"/>
      <c r="AE91" s="607"/>
      <c r="AF91" s="211"/>
    </row>
    <row r="92" spans="1:32" s="112" customFormat="1" ht="15" customHeight="1" x14ac:dyDescent="0.25">
      <c r="B92" s="178" t="s">
        <v>443</v>
      </c>
      <c r="C92" s="318"/>
      <c r="D92" s="193" t="s">
        <v>50</v>
      </c>
      <c r="E92" s="100"/>
      <c r="F92" s="321">
        <v>1</v>
      </c>
      <c r="G92" s="94"/>
      <c r="H92" s="193" t="s">
        <v>51</v>
      </c>
      <c r="I92" s="100"/>
      <c r="J92" s="321">
        <v>5</v>
      </c>
      <c r="K92" s="164"/>
      <c r="L92" s="193"/>
      <c r="M92" s="317"/>
      <c r="N92" s="323"/>
      <c r="O92" s="323"/>
      <c r="P92" s="321">
        <f>'Staff Detail'!B20</f>
        <v>128.1</v>
      </c>
      <c r="Q92" s="322"/>
      <c r="R92" s="327">
        <f t="shared" ref="R92:R100" si="57">P92/$V$6</f>
        <v>36.6</v>
      </c>
      <c r="S92" s="322"/>
      <c r="T92" s="319">
        <f t="shared" ref="T92:T100" si="58">IF(N92=0,IF(J92=0,F92*P92,F92*J92*P92),F92*J92*N92*P92)</f>
        <v>640.5</v>
      </c>
      <c r="U92" s="317"/>
      <c r="V92" s="319">
        <f t="shared" ref="V92:V100" si="59">T92/$V$6</f>
        <v>183</v>
      </c>
      <c r="W92" s="320"/>
      <c r="X92" s="337">
        <f t="shared" ref="X92:X100" si="60">V92/$V$3</f>
        <v>6.8110535583288572E-5</v>
      </c>
      <c r="Y92" s="167"/>
      <c r="Z92" s="326">
        <f t="shared" ref="Z92:Z101" si="61">V92/$V$601</f>
        <v>9.8685888047088442E-5</v>
      </c>
      <c r="AA92" s="635">
        <v>1</v>
      </c>
      <c r="AB92" s="638">
        <f t="shared" ref="AB92:AB100" si="62">+W93+V93*AA93</f>
        <v>170.79999999999998</v>
      </c>
      <c r="AC92" s="636">
        <f t="shared" ref="AC92:AC100" si="63">+AD92/V92</f>
        <v>1</v>
      </c>
      <c r="AD92" s="292">
        <f t="shared" ref="AD92:AD100" si="64">+V92-AB91</f>
        <v>183</v>
      </c>
      <c r="AE92" s="607" t="s">
        <v>99</v>
      </c>
      <c r="AF92" s="211"/>
    </row>
    <row r="93" spans="1:32" s="112" customFormat="1" ht="15" customHeight="1" x14ac:dyDescent="0.25">
      <c r="B93" s="178" t="s">
        <v>493</v>
      </c>
      <c r="C93" s="318"/>
      <c r="D93" s="193" t="s">
        <v>50</v>
      </c>
      <c r="E93" s="100"/>
      <c r="F93" s="321">
        <v>1</v>
      </c>
      <c r="G93" s="94"/>
      <c r="H93" s="193" t="s">
        <v>51</v>
      </c>
      <c r="I93" s="100"/>
      <c r="J93" s="321">
        <v>5</v>
      </c>
      <c r="K93" s="164"/>
      <c r="L93" s="193"/>
      <c r="M93" s="317"/>
      <c r="N93" s="323"/>
      <c r="O93" s="323"/>
      <c r="P93" s="321">
        <f>'Staff Detail'!B21</f>
        <v>119.56</v>
      </c>
      <c r="Q93" s="322"/>
      <c r="R93" s="327">
        <f t="shared" ref="R93:R98" si="65">P93/$V$6</f>
        <v>34.160000000000004</v>
      </c>
      <c r="S93" s="322"/>
      <c r="T93" s="319">
        <f t="shared" ref="T93:T98" si="66">IF(N93=0,IF(J93=0,F93*P93,F93*J93*P93),F93*J93*N93*P93)</f>
        <v>597.79999999999995</v>
      </c>
      <c r="U93" s="317"/>
      <c r="V93" s="319">
        <f t="shared" si="59"/>
        <v>170.79999999999998</v>
      </c>
      <c r="W93" s="320"/>
      <c r="X93" s="337">
        <f t="shared" si="60"/>
        <v>6.3569833211069327E-5</v>
      </c>
      <c r="Y93" s="167"/>
      <c r="Z93" s="326">
        <f t="shared" si="61"/>
        <v>9.2106828843949206E-5</v>
      </c>
      <c r="AA93" s="635">
        <v>1</v>
      </c>
      <c r="AB93" s="638">
        <f t="shared" si="62"/>
        <v>183</v>
      </c>
      <c r="AC93" s="636">
        <f t="shared" si="63"/>
        <v>0</v>
      </c>
      <c r="AD93" s="292">
        <f t="shared" si="64"/>
        <v>0</v>
      </c>
      <c r="AE93" s="607" t="s">
        <v>99</v>
      </c>
      <c r="AF93" s="211"/>
    </row>
    <row r="94" spans="1:32" s="112" customFormat="1" ht="15" customHeight="1" x14ac:dyDescent="0.25">
      <c r="B94" s="178" t="s">
        <v>439</v>
      </c>
      <c r="C94" s="318"/>
      <c r="D94" s="193" t="s">
        <v>50</v>
      </c>
      <c r="E94" s="100"/>
      <c r="F94" s="321">
        <v>1</v>
      </c>
      <c r="G94" s="94"/>
      <c r="H94" s="193" t="s">
        <v>51</v>
      </c>
      <c r="I94" s="100"/>
      <c r="J94" s="321">
        <v>5</v>
      </c>
      <c r="K94" s="164"/>
      <c r="L94" s="193"/>
      <c r="M94" s="317"/>
      <c r="N94" s="323"/>
      <c r="O94" s="323"/>
      <c r="P94" s="321">
        <f>'Staff Detail'!B8</f>
        <v>128.1</v>
      </c>
      <c r="Q94" s="322"/>
      <c r="R94" s="327">
        <f t="shared" si="65"/>
        <v>36.6</v>
      </c>
      <c r="S94" s="322"/>
      <c r="T94" s="319">
        <f t="shared" si="66"/>
        <v>640.5</v>
      </c>
      <c r="U94" s="317"/>
      <c r="V94" s="319">
        <f t="shared" si="59"/>
        <v>183</v>
      </c>
      <c r="W94" s="320"/>
      <c r="X94" s="337">
        <f t="shared" si="60"/>
        <v>6.8110535583288572E-5</v>
      </c>
      <c r="Y94" s="167"/>
      <c r="Z94" s="326">
        <f t="shared" si="61"/>
        <v>9.8685888047088442E-5</v>
      </c>
      <c r="AA94" s="635">
        <v>1</v>
      </c>
      <c r="AB94" s="638">
        <f t="shared" si="62"/>
        <v>170.79999999999998</v>
      </c>
      <c r="AC94" s="636">
        <f t="shared" si="63"/>
        <v>0</v>
      </c>
      <c r="AD94" s="292">
        <f t="shared" si="64"/>
        <v>0</v>
      </c>
      <c r="AE94" s="607" t="s">
        <v>99</v>
      </c>
      <c r="AF94" s="211"/>
    </row>
    <row r="95" spans="1:32" s="112" customFormat="1" ht="15" customHeight="1" x14ac:dyDescent="0.25">
      <c r="B95" s="178" t="s">
        <v>494</v>
      </c>
      <c r="C95" s="318"/>
      <c r="D95" s="193" t="s">
        <v>50</v>
      </c>
      <c r="E95" s="100"/>
      <c r="F95" s="321">
        <v>1</v>
      </c>
      <c r="G95" s="94"/>
      <c r="H95" s="193" t="s">
        <v>51</v>
      </c>
      <c r="I95" s="100"/>
      <c r="J95" s="321">
        <v>5</v>
      </c>
      <c r="K95" s="164"/>
      <c r="L95" s="193"/>
      <c r="M95" s="317"/>
      <c r="N95" s="323"/>
      <c r="O95" s="323"/>
      <c r="P95" s="321">
        <f>'Staff Detail'!B9</f>
        <v>119.56</v>
      </c>
      <c r="Q95" s="322"/>
      <c r="R95" s="327">
        <f t="shared" si="65"/>
        <v>34.160000000000004</v>
      </c>
      <c r="S95" s="322"/>
      <c r="T95" s="319">
        <f t="shared" si="66"/>
        <v>597.79999999999995</v>
      </c>
      <c r="U95" s="317"/>
      <c r="V95" s="319">
        <f t="shared" si="59"/>
        <v>170.79999999999998</v>
      </c>
      <c r="W95" s="320"/>
      <c r="X95" s="337">
        <f t="shared" si="60"/>
        <v>6.3569833211069327E-5</v>
      </c>
      <c r="Y95" s="167"/>
      <c r="Z95" s="326">
        <f t="shared" si="61"/>
        <v>9.2106828843949206E-5</v>
      </c>
      <c r="AA95" s="635">
        <v>1</v>
      </c>
      <c r="AB95" s="638">
        <f t="shared" si="62"/>
        <v>183</v>
      </c>
      <c r="AC95" s="636">
        <f t="shared" si="63"/>
        <v>0</v>
      </c>
      <c r="AD95" s="292">
        <f t="shared" si="64"/>
        <v>0</v>
      </c>
      <c r="AE95" s="607" t="s">
        <v>99</v>
      </c>
      <c r="AF95" s="211"/>
    </row>
    <row r="96" spans="1:32" s="112" customFormat="1" ht="15" customHeight="1" x14ac:dyDescent="0.25">
      <c r="B96" s="178" t="s">
        <v>440</v>
      </c>
      <c r="C96" s="318"/>
      <c r="D96" s="193" t="s">
        <v>50</v>
      </c>
      <c r="E96" s="100"/>
      <c r="F96" s="321">
        <v>1</v>
      </c>
      <c r="G96" s="94"/>
      <c r="H96" s="193" t="s">
        <v>51</v>
      </c>
      <c r="I96" s="100"/>
      <c r="J96" s="321">
        <v>5</v>
      </c>
      <c r="K96" s="164"/>
      <c r="L96" s="193"/>
      <c r="M96" s="317"/>
      <c r="N96" s="323"/>
      <c r="O96" s="323"/>
      <c r="P96" s="321">
        <f>+'Staff Detail'!B14</f>
        <v>128.1</v>
      </c>
      <c r="Q96" s="322"/>
      <c r="R96" s="327">
        <f t="shared" si="65"/>
        <v>36.6</v>
      </c>
      <c r="S96" s="322"/>
      <c r="T96" s="319">
        <f t="shared" si="66"/>
        <v>640.5</v>
      </c>
      <c r="U96" s="317"/>
      <c r="V96" s="319">
        <f t="shared" si="59"/>
        <v>183</v>
      </c>
      <c r="W96" s="320"/>
      <c r="X96" s="337">
        <f t="shared" si="60"/>
        <v>6.8110535583288572E-5</v>
      </c>
      <c r="Y96" s="167"/>
      <c r="Z96" s="326">
        <f t="shared" si="61"/>
        <v>9.8685888047088442E-5</v>
      </c>
      <c r="AA96" s="635">
        <v>1</v>
      </c>
      <c r="AB96" s="638">
        <f t="shared" si="62"/>
        <v>170.79999999999998</v>
      </c>
      <c r="AC96" s="636">
        <f t="shared" si="63"/>
        <v>0</v>
      </c>
      <c r="AD96" s="292">
        <f t="shared" si="64"/>
        <v>0</v>
      </c>
      <c r="AE96" s="607" t="s">
        <v>99</v>
      </c>
      <c r="AF96" s="211"/>
    </row>
    <row r="97" spans="1:32" s="112" customFormat="1" ht="15" customHeight="1" x14ac:dyDescent="0.25">
      <c r="B97" s="178" t="s">
        <v>495</v>
      </c>
      <c r="C97" s="318"/>
      <c r="D97" s="193" t="s">
        <v>50</v>
      </c>
      <c r="E97" s="100"/>
      <c r="F97" s="321">
        <v>1</v>
      </c>
      <c r="G97" s="94"/>
      <c r="H97" s="193" t="s">
        <v>51</v>
      </c>
      <c r="I97" s="100"/>
      <c r="J97" s="321">
        <v>5</v>
      </c>
      <c r="K97" s="164"/>
      <c r="L97" s="193"/>
      <c r="M97" s="317"/>
      <c r="N97" s="323"/>
      <c r="O97" s="323"/>
      <c r="P97" s="321">
        <f>+'Staff Detail'!B21</f>
        <v>119.56</v>
      </c>
      <c r="Q97" s="322"/>
      <c r="R97" s="327">
        <f t="shared" si="65"/>
        <v>34.160000000000004</v>
      </c>
      <c r="S97" s="322"/>
      <c r="T97" s="319">
        <f t="shared" si="66"/>
        <v>597.79999999999995</v>
      </c>
      <c r="U97" s="317"/>
      <c r="V97" s="319">
        <f t="shared" si="59"/>
        <v>170.79999999999998</v>
      </c>
      <c r="W97" s="320"/>
      <c r="X97" s="337">
        <f t="shared" si="60"/>
        <v>6.3569833211069327E-5</v>
      </c>
      <c r="Y97" s="167"/>
      <c r="Z97" s="326">
        <f t="shared" si="61"/>
        <v>9.2106828843949206E-5</v>
      </c>
      <c r="AA97" s="635">
        <v>1</v>
      </c>
      <c r="AB97" s="638">
        <f t="shared" si="62"/>
        <v>9.6074999999999999</v>
      </c>
      <c r="AC97" s="636">
        <f t="shared" si="63"/>
        <v>0</v>
      </c>
      <c r="AD97" s="292">
        <f t="shared" si="64"/>
        <v>0</v>
      </c>
      <c r="AE97" s="607" t="s">
        <v>99</v>
      </c>
      <c r="AF97" s="211"/>
    </row>
    <row r="98" spans="1:32" s="112" customFormat="1" ht="15" customHeight="1" x14ac:dyDescent="0.25">
      <c r="B98" s="178" t="s">
        <v>240</v>
      </c>
      <c r="C98" s="318"/>
      <c r="D98" s="193" t="s">
        <v>50</v>
      </c>
      <c r="E98" s="100"/>
      <c r="F98" s="321">
        <v>3</v>
      </c>
      <c r="G98" s="94"/>
      <c r="H98" s="193" t="s">
        <v>51</v>
      </c>
      <c r="I98" s="100"/>
      <c r="J98" s="800">
        <v>0.125</v>
      </c>
      <c r="K98" s="164"/>
      <c r="L98" s="193"/>
      <c r="M98" s="317"/>
      <c r="N98" s="323"/>
      <c r="O98" s="323"/>
      <c r="P98" s="481">
        <f>+P85</f>
        <v>89.67</v>
      </c>
      <c r="Q98" s="322"/>
      <c r="R98" s="484">
        <f t="shared" si="65"/>
        <v>25.62</v>
      </c>
      <c r="S98" s="322"/>
      <c r="T98" s="319">
        <f t="shared" si="66"/>
        <v>33.626249999999999</v>
      </c>
      <c r="U98" s="317"/>
      <c r="V98" s="319">
        <f t="shared" si="59"/>
        <v>9.6074999999999999</v>
      </c>
      <c r="W98" s="320"/>
      <c r="X98" s="337">
        <f t="shared" si="60"/>
        <v>3.5758031181226502E-6</v>
      </c>
      <c r="Y98" s="167"/>
      <c r="Z98" s="326">
        <f t="shared" si="61"/>
        <v>5.1810091224721428E-6</v>
      </c>
      <c r="AA98" s="635">
        <v>1</v>
      </c>
      <c r="AB98" s="638">
        <f t="shared" si="62"/>
        <v>128.57142857142858</v>
      </c>
      <c r="AC98" s="636">
        <f t="shared" si="63"/>
        <v>0</v>
      </c>
      <c r="AD98" s="292">
        <f t="shared" si="64"/>
        <v>0</v>
      </c>
      <c r="AE98" s="607" t="s">
        <v>99</v>
      </c>
      <c r="AF98" s="211"/>
    </row>
    <row r="99" spans="1:32" s="112" customFormat="1" ht="15" customHeight="1" x14ac:dyDescent="0.25">
      <c r="B99" s="178" t="s">
        <v>444</v>
      </c>
      <c r="C99" s="318"/>
      <c r="D99" s="193" t="s">
        <v>50</v>
      </c>
      <c r="E99" s="317"/>
      <c r="F99" s="321">
        <f>+SUM(F92:F97)</f>
        <v>6</v>
      </c>
      <c r="G99" s="317"/>
      <c r="H99" s="193" t="s">
        <v>131</v>
      </c>
      <c r="I99" s="100"/>
      <c r="J99" s="321">
        <v>1</v>
      </c>
      <c r="K99" s="322"/>
      <c r="L99" s="193"/>
      <c r="M99" s="323"/>
      <c r="N99" s="323"/>
      <c r="O99" s="323"/>
      <c r="P99" s="321">
        <f>'Staff Detail'!B50</f>
        <v>75</v>
      </c>
      <c r="Q99" s="322"/>
      <c r="R99" s="327">
        <f t="shared" si="57"/>
        <v>21.428571428571427</v>
      </c>
      <c r="S99" s="322"/>
      <c r="T99" s="319">
        <f t="shared" si="58"/>
        <v>450</v>
      </c>
      <c r="U99" s="317"/>
      <c r="V99" s="319">
        <f t="shared" si="59"/>
        <v>128.57142857142858</v>
      </c>
      <c r="W99" s="320"/>
      <c r="X99" s="337">
        <f t="shared" si="60"/>
        <v>4.7852835304418206E-5</v>
      </c>
      <c r="Y99" s="167"/>
      <c r="Z99" s="326">
        <f t="shared" si="61"/>
        <v>6.9334347574066829E-5</v>
      </c>
      <c r="AA99" s="635">
        <v>1</v>
      </c>
      <c r="AB99" s="638">
        <f t="shared" si="62"/>
        <v>325.28571428571428</v>
      </c>
      <c r="AC99" s="636">
        <f t="shared" si="63"/>
        <v>0</v>
      </c>
      <c r="AD99" s="292">
        <f t="shared" si="64"/>
        <v>0</v>
      </c>
      <c r="AE99" s="607" t="s">
        <v>102</v>
      </c>
      <c r="AF99" s="211"/>
    </row>
    <row r="100" spans="1:32" s="112" customFormat="1" ht="15" customHeight="1" x14ac:dyDescent="0.25">
      <c r="B100" s="178" t="s">
        <v>445</v>
      </c>
      <c r="C100" s="318"/>
      <c r="D100" s="193" t="s">
        <v>98</v>
      </c>
      <c r="E100" s="317"/>
      <c r="F100" s="321">
        <v>3</v>
      </c>
      <c r="G100" s="317"/>
      <c r="H100" s="193" t="s">
        <v>54</v>
      </c>
      <c r="I100" s="100"/>
      <c r="J100" s="481">
        <v>23</v>
      </c>
      <c r="K100" s="164"/>
      <c r="L100" s="193" t="s">
        <v>51</v>
      </c>
      <c r="M100" s="163"/>
      <c r="N100" s="321">
        <v>5</v>
      </c>
      <c r="O100" s="165"/>
      <c r="P100" s="321">
        <v>3.3</v>
      </c>
      <c r="Q100" s="322"/>
      <c r="R100" s="327">
        <f t="shared" si="57"/>
        <v>0.94285714285714284</v>
      </c>
      <c r="S100" s="322"/>
      <c r="T100" s="319">
        <f t="shared" si="58"/>
        <v>1138.5</v>
      </c>
      <c r="U100" s="317"/>
      <c r="V100" s="319">
        <f t="shared" si="59"/>
        <v>325.28571428571428</v>
      </c>
      <c r="W100" s="320"/>
      <c r="X100" s="337">
        <f t="shared" si="60"/>
        <v>1.2106767332017805E-4</v>
      </c>
      <c r="Y100" s="167"/>
      <c r="Z100" s="326">
        <f t="shared" si="61"/>
        <v>1.7541589936238906E-4</v>
      </c>
      <c r="AA100" s="635">
        <v>1</v>
      </c>
      <c r="AB100" s="638">
        <f t="shared" si="62"/>
        <v>0</v>
      </c>
      <c r="AC100" s="636">
        <f t="shared" si="63"/>
        <v>0</v>
      </c>
      <c r="AD100" s="292">
        <f t="shared" si="64"/>
        <v>0</v>
      </c>
      <c r="AE100" s="611" t="s">
        <v>55</v>
      </c>
      <c r="AF100" s="211"/>
    </row>
    <row r="101" spans="1:32" s="112" customFormat="1" ht="15" customHeight="1" thickBot="1" x14ac:dyDescent="0.3">
      <c r="A101" s="112" t="s">
        <v>267</v>
      </c>
      <c r="B101" s="176" t="s">
        <v>96</v>
      </c>
      <c r="C101" s="318"/>
      <c r="D101" s="324"/>
      <c r="E101" s="317"/>
      <c r="F101" s="322"/>
      <c r="G101" s="317"/>
      <c r="H101" s="324"/>
      <c r="I101" s="317"/>
      <c r="J101" s="162"/>
      <c r="K101" s="322"/>
      <c r="L101" s="323"/>
      <c r="M101" s="323"/>
      <c r="N101" s="166"/>
      <c r="O101" s="323"/>
      <c r="P101" s="322"/>
      <c r="Q101" s="322"/>
      <c r="R101" s="322"/>
      <c r="S101" s="322"/>
      <c r="T101" s="133">
        <f>SUM(T92:T100)</f>
        <v>5337.026249999999</v>
      </c>
      <c r="U101" s="318"/>
      <c r="V101" s="133">
        <f>SUM(V92:V100)</f>
        <v>1524.8646428571428</v>
      </c>
      <c r="W101" s="134"/>
      <c r="X101" s="338">
        <f>SUM(X89:X100)</f>
        <v>6.0368674751320869E-3</v>
      </c>
      <c r="Y101" s="240"/>
      <c r="Z101" s="286">
        <f t="shared" si="61"/>
        <v>8.2230940673204097E-4</v>
      </c>
      <c r="AA101" s="637"/>
      <c r="AB101" s="133">
        <f>SUM(AB92:AB100)</f>
        <v>1341.8646428571426</v>
      </c>
      <c r="AC101" s="637"/>
      <c r="AD101" s="133">
        <f>SUM(AD92:AD100)</f>
        <v>183</v>
      </c>
      <c r="AE101" s="607"/>
      <c r="AF101" s="211"/>
    </row>
    <row r="102" spans="1:32" s="112" customFormat="1" ht="15" customHeight="1" x14ac:dyDescent="0.25">
      <c r="B102" s="177" t="s">
        <v>135</v>
      </c>
      <c r="C102" s="318"/>
      <c r="D102" s="324"/>
      <c r="E102" s="100"/>
      <c r="F102" s="322" t="s">
        <v>135</v>
      </c>
      <c r="G102" s="94"/>
      <c r="H102" s="324"/>
      <c r="I102" s="100"/>
      <c r="J102" s="162"/>
      <c r="K102" s="164"/>
      <c r="L102" s="323"/>
      <c r="M102" s="323"/>
      <c r="N102" s="166"/>
      <c r="O102" s="323"/>
      <c r="P102" s="322"/>
      <c r="Q102" s="322"/>
      <c r="R102" s="322"/>
      <c r="S102" s="322"/>
      <c r="T102" s="302"/>
      <c r="U102" s="318"/>
      <c r="V102" s="302"/>
      <c r="W102" s="134"/>
      <c r="X102" s="344"/>
      <c r="Y102" s="240"/>
      <c r="Z102" s="290"/>
      <c r="AA102" s="94"/>
      <c r="AB102" s="671"/>
      <c r="AC102" s="94"/>
      <c r="AD102" s="94"/>
      <c r="AE102" s="607"/>
      <c r="AF102" s="211"/>
    </row>
    <row r="103" spans="1:32" s="112" customFormat="1" ht="15" customHeight="1" x14ac:dyDescent="0.25">
      <c r="B103" s="177" t="s">
        <v>144</v>
      </c>
      <c r="C103" s="318"/>
      <c r="D103" s="324"/>
      <c r="E103" s="317"/>
      <c r="F103" s="322"/>
      <c r="G103" s="317"/>
      <c r="H103" s="324"/>
      <c r="I103" s="317"/>
      <c r="J103" s="162"/>
      <c r="K103" s="322"/>
      <c r="L103" s="323"/>
      <c r="M103" s="323"/>
      <c r="N103" s="166"/>
      <c r="O103" s="323"/>
      <c r="P103" s="322"/>
      <c r="Q103" s="322"/>
      <c r="R103" s="322"/>
      <c r="S103" s="322"/>
      <c r="T103" s="302"/>
      <c r="U103" s="318"/>
      <c r="V103" s="302"/>
      <c r="W103" s="134"/>
      <c r="X103" s="344"/>
      <c r="Y103" s="240"/>
      <c r="Z103" s="290"/>
      <c r="AA103" s="94"/>
      <c r="AB103" s="648"/>
      <c r="AC103" s="94"/>
      <c r="AD103" s="94"/>
      <c r="AE103" s="607"/>
      <c r="AF103" s="211"/>
    </row>
    <row r="104" spans="1:32" s="112" customFormat="1" ht="15" customHeight="1" x14ac:dyDescent="0.25">
      <c r="B104" s="306" t="s">
        <v>446</v>
      </c>
      <c r="C104" s="318"/>
      <c r="D104" s="193" t="s">
        <v>50</v>
      </c>
      <c r="E104" s="100"/>
      <c r="F104" s="606">
        <v>0</v>
      </c>
      <c r="G104" s="94"/>
      <c r="H104" s="193" t="s">
        <v>51</v>
      </c>
      <c r="I104" s="100"/>
      <c r="J104" s="321">
        <v>3</v>
      </c>
      <c r="K104" s="164"/>
      <c r="L104" s="193"/>
      <c r="M104" s="317"/>
      <c r="N104" s="323"/>
      <c r="O104" s="323"/>
      <c r="P104" s="321">
        <f>+P93</f>
        <v>119.56</v>
      </c>
      <c r="Q104" s="322"/>
      <c r="R104" s="327">
        <f t="shared" ref="R104" si="67">P104/$V$6</f>
        <v>34.160000000000004</v>
      </c>
      <c r="S104" s="322"/>
      <c r="T104" s="319">
        <f t="shared" ref="T104" si="68">IF(N104=0,IF(J104=0,F104*P104,F104*J104*P104),F104*J104*N104*P104)</f>
        <v>0</v>
      </c>
      <c r="U104" s="317"/>
      <c r="V104" s="319">
        <f t="shared" ref="V104" si="69">T104/$V$6</f>
        <v>0</v>
      </c>
      <c r="W104" s="320"/>
      <c r="X104" s="337">
        <f t="shared" ref="X104" si="70">V104/$V$3</f>
        <v>0</v>
      </c>
      <c r="Y104" s="167"/>
      <c r="Z104" s="326">
        <f t="shared" ref="Z104:Z109" si="71">V104/$V$601</f>
        <v>0</v>
      </c>
      <c r="AA104" s="635">
        <v>1</v>
      </c>
      <c r="AB104" s="638">
        <f>+W104+V104*AA104</f>
        <v>0</v>
      </c>
      <c r="AC104" s="636" t="e">
        <f t="shared" ref="AC104:AC108" si="72">+AD104/V104</f>
        <v>#DIV/0!</v>
      </c>
      <c r="AD104" s="292">
        <f>+V104-AB104</f>
        <v>0</v>
      </c>
      <c r="AE104" s="607" t="s">
        <v>99</v>
      </c>
      <c r="AF104" s="211"/>
    </row>
    <row r="105" spans="1:32" s="112" customFormat="1" ht="15" customHeight="1" x14ac:dyDescent="0.25">
      <c r="B105" s="178" t="s">
        <v>140</v>
      </c>
      <c r="C105" s="318"/>
      <c r="D105" s="193" t="s">
        <v>50</v>
      </c>
      <c r="E105" s="100"/>
      <c r="F105" s="606">
        <v>0</v>
      </c>
      <c r="G105" s="94"/>
      <c r="H105" s="193" t="s">
        <v>51</v>
      </c>
      <c r="I105" s="100"/>
      <c r="J105" s="321">
        <v>3</v>
      </c>
      <c r="K105" s="164"/>
      <c r="L105" s="193"/>
      <c r="M105" s="317"/>
      <c r="N105" s="323"/>
      <c r="O105" s="323"/>
      <c r="P105" s="321">
        <f>+P92</f>
        <v>128.1</v>
      </c>
      <c r="Q105" s="322"/>
      <c r="R105" s="327">
        <f t="shared" ref="R105:R108" si="73">P105/$V$6</f>
        <v>36.6</v>
      </c>
      <c r="S105" s="322"/>
      <c r="T105" s="319">
        <f t="shared" ref="T105:T108" si="74">IF(N105=0,IF(J105=0,F105*P105,F105*J105*P105),F105*J105*N105*P105)</f>
        <v>0</v>
      </c>
      <c r="U105" s="317"/>
      <c r="V105" s="319">
        <f t="shared" ref="V105:V108" si="75">T105/$V$6</f>
        <v>0</v>
      </c>
      <c r="W105" s="320"/>
      <c r="X105" s="337">
        <f t="shared" ref="X105:X108" si="76">V105/$V$3</f>
        <v>0</v>
      </c>
      <c r="Y105" s="167"/>
      <c r="Z105" s="326">
        <f t="shared" si="71"/>
        <v>0</v>
      </c>
      <c r="AA105" s="635">
        <v>1</v>
      </c>
      <c r="AB105" s="638">
        <f>+W105+V105*AA105</f>
        <v>0</v>
      </c>
      <c r="AC105" s="636" t="e">
        <f t="shared" si="72"/>
        <v>#DIV/0!</v>
      </c>
      <c r="AD105" s="292">
        <f>+V105-AB105</f>
        <v>0</v>
      </c>
      <c r="AE105" s="607" t="s">
        <v>99</v>
      </c>
      <c r="AF105" s="211"/>
    </row>
    <row r="106" spans="1:32" s="112" customFormat="1" ht="15" customHeight="1" x14ac:dyDescent="0.25">
      <c r="B106" s="178" t="s">
        <v>240</v>
      </c>
      <c r="C106" s="318"/>
      <c r="D106" s="193" t="s">
        <v>50</v>
      </c>
      <c r="E106" s="100"/>
      <c r="F106" s="321">
        <v>0</v>
      </c>
      <c r="G106" s="94"/>
      <c r="H106" s="193" t="s">
        <v>51</v>
      </c>
      <c r="I106" s="100"/>
      <c r="J106" s="800">
        <v>6.25E-2</v>
      </c>
      <c r="K106" s="164"/>
      <c r="L106" s="193"/>
      <c r="M106" s="317"/>
      <c r="N106" s="323"/>
      <c r="O106" s="323"/>
      <c r="P106" s="481">
        <f>+'Staff Detail'!B16</f>
        <v>89.67</v>
      </c>
      <c r="Q106" s="322"/>
      <c r="R106" s="484">
        <f t="shared" si="73"/>
        <v>25.62</v>
      </c>
      <c r="S106" s="322"/>
      <c r="T106" s="319">
        <f t="shared" si="74"/>
        <v>0</v>
      </c>
      <c r="U106" s="317"/>
      <c r="V106" s="319">
        <f t="shared" si="75"/>
        <v>0</v>
      </c>
      <c r="W106" s="320"/>
      <c r="X106" s="337">
        <f t="shared" si="76"/>
        <v>0</v>
      </c>
      <c r="Y106" s="167"/>
      <c r="Z106" s="326">
        <f t="shared" si="71"/>
        <v>0</v>
      </c>
      <c r="AA106" s="635">
        <v>1</v>
      </c>
      <c r="AB106" s="638">
        <f>+W106+V106*AA106</f>
        <v>0</v>
      </c>
      <c r="AC106" s="636" t="e">
        <f t="shared" si="72"/>
        <v>#DIV/0!</v>
      </c>
      <c r="AD106" s="292">
        <f>+V106-AB106</f>
        <v>0</v>
      </c>
      <c r="AE106" s="607" t="s">
        <v>99</v>
      </c>
      <c r="AF106" s="211"/>
    </row>
    <row r="107" spans="1:32" s="112" customFormat="1" ht="15" customHeight="1" x14ac:dyDescent="0.25">
      <c r="B107" s="178" t="s">
        <v>300</v>
      </c>
      <c r="C107" s="318"/>
      <c r="D107" s="193" t="s">
        <v>50</v>
      </c>
      <c r="E107" s="317"/>
      <c r="F107" s="606">
        <v>0</v>
      </c>
      <c r="G107" s="317"/>
      <c r="H107" s="193" t="s">
        <v>131</v>
      </c>
      <c r="I107" s="100"/>
      <c r="J107" s="321">
        <v>1</v>
      </c>
      <c r="K107" s="322"/>
      <c r="L107" s="193"/>
      <c r="M107" s="323"/>
      <c r="N107" s="323"/>
      <c r="O107" s="323"/>
      <c r="P107" s="321">
        <f>+P99</f>
        <v>75</v>
      </c>
      <c r="Q107" s="322"/>
      <c r="R107" s="327">
        <f t="shared" si="73"/>
        <v>21.428571428571427</v>
      </c>
      <c r="S107" s="322"/>
      <c r="T107" s="319">
        <f t="shared" si="74"/>
        <v>0</v>
      </c>
      <c r="U107" s="317"/>
      <c r="V107" s="319">
        <f t="shared" si="75"/>
        <v>0</v>
      </c>
      <c r="W107" s="320"/>
      <c r="X107" s="337">
        <f t="shared" si="76"/>
        <v>0</v>
      </c>
      <c r="Y107" s="167"/>
      <c r="Z107" s="326">
        <f t="shared" si="71"/>
        <v>0</v>
      </c>
      <c r="AA107" s="635">
        <v>1</v>
      </c>
      <c r="AB107" s="638">
        <f>+W107+V107*AA107</f>
        <v>0</v>
      </c>
      <c r="AC107" s="636" t="e">
        <f t="shared" si="72"/>
        <v>#DIV/0!</v>
      </c>
      <c r="AD107" s="292">
        <f>+V107-AB107</f>
        <v>0</v>
      </c>
      <c r="AE107" s="607" t="s">
        <v>102</v>
      </c>
      <c r="AF107" s="211"/>
    </row>
    <row r="108" spans="1:32" s="112" customFormat="1" ht="15" customHeight="1" x14ac:dyDescent="0.25">
      <c r="B108" s="178" t="s">
        <v>17</v>
      </c>
      <c r="C108" s="318"/>
      <c r="D108" s="193" t="s">
        <v>98</v>
      </c>
      <c r="E108" s="317"/>
      <c r="F108" s="321">
        <v>0</v>
      </c>
      <c r="G108" s="317"/>
      <c r="H108" s="193" t="s">
        <v>54</v>
      </c>
      <c r="I108" s="100"/>
      <c r="J108" s="321">
        <v>22.5</v>
      </c>
      <c r="K108" s="164"/>
      <c r="L108" s="193" t="s">
        <v>51</v>
      </c>
      <c r="M108" s="163"/>
      <c r="N108" s="481">
        <v>5</v>
      </c>
      <c r="O108" s="165"/>
      <c r="P108" s="321">
        <v>3.3</v>
      </c>
      <c r="Q108" s="322"/>
      <c r="R108" s="327">
        <f t="shared" si="73"/>
        <v>0.94285714285714284</v>
      </c>
      <c r="S108" s="322"/>
      <c r="T108" s="319">
        <f t="shared" si="74"/>
        <v>0</v>
      </c>
      <c r="U108" s="317"/>
      <c r="V108" s="319">
        <f t="shared" si="75"/>
        <v>0</v>
      </c>
      <c r="W108" s="320"/>
      <c r="X108" s="337">
        <f t="shared" si="76"/>
        <v>0</v>
      </c>
      <c r="Y108" s="167"/>
      <c r="Z108" s="326">
        <f t="shared" si="71"/>
        <v>0</v>
      </c>
      <c r="AA108" s="635">
        <v>1</v>
      </c>
      <c r="AB108" s="638">
        <f>+W108+V108*AA108</f>
        <v>0</v>
      </c>
      <c r="AC108" s="636" t="e">
        <f t="shared" si="72"/>
        <v>#DIV/0!</v>
      </c>
      <c r="AD108" s="292">
        <f>+V108-AB108</f>
        <v>0</v>
      </c>
      <c r="AE108" s="611" t="s">
        <v>55</v>
      </c>
      <c r="AF108" s="211"/>
    </row>
    <row r="109" spans="1:32" s="112" customFormat="1" ht="15" customHeight="1" thickBot="1" x14ac:dyDescent="0.3">
      <c r="A109" s="112" t="s">
        <v>266</v>
      </c>
      <c r="B109" s="176" t="s">
        <v>96</v>
      </c>
      <c r="C109" s="318"/>
      <c r="D109" s="324"/>
      <c r="E109" s="317"/>
      <c r="F109" s="322"/>
      <c r="G109" s="317"/>
      <c r="H109" s="324"/>
      <c r="I109" s="317"/>
      <c r="J109" s="162"/>
      <c r="K109" s="322"/>
      <c r="L109" s="323"/>
      <c r="M109" s="323"/>
      <c r="N109" s="166"/>
      <c r="O109" s="323"/>
      <c r="P109" s="322"/>
      <c r="Q109" s="322"/>
      <c r="R109" s="322"/>
      <c r="S109" s="322"/>
      <c r="T109" s="133">
        <f>SUM(T105:T108)</f>
        <v>0</v>
      </c>
      <c r="U109" s="318"/>
      <c r="V109" s="133">
        <f>SUM(V105:V108)</f>
        <v>0</v>
      </c>
      <c r="W109" s="134"/>
      <c r="X109" s="338">
        <f>SUM(X101:X108)</f>
        <v>6.0368674751320869E-3</v>
      </c>
      <c r="Y109" s="240"/>
      <c r="Z109" s="286">
        <f t="shared" si="71"/>
        <v>0</v>
      </c>
      <c r="AA109" s="668"/>
      <c r="AB109" s="133">
        <f>SUM(AB105:AB108)</f>
        <v>0</v>
      </c>
      <c r="AC109" s="637"/>
      <c r="AD109" s="133">
        <f>SUM(AD105:AD108)</f>
        <v>0</v>
      </c>
      <c r="AE109" s="607"/>
      <c r="AF109" s="211"/>
    </row>
    <row r="110" spans="1:32" s="112" customFormat="1" ht="15" customHeight="1" x14ac:dyDescent="0.25">
      <c r="B110" s="177"/>
      <c r="C110" s="318"/>
      <c r="D110" s="324"/>
      <c r="E110" s="100"/>
      <c r="F110" s="322"/>
      <c r="G110" s="94"/>
      <c r="H110" s="324"/>
      <c r="I110" s="100"/>
      <c r="J110" s="162"/>
      <c r="K110" s="164"/>
      <c r="L110" s="323"/>
      <c r="M110" s="323"/>
      <c r="N110" s="166"/>
      <c r="O110" s="323"/>
      <c r="P110" s="322"/>
      <c r="Q110" s="322"/>
      <c r="R110" s="322"/>
      <c r="S110" s="322"/>
      <c r="T110" s="302"/>
      <c r="U110" s="318"/>
      <c r="V110" s="302"/>
      <c r="W110" s="134"/>
      <c r="X110" s="344"/>
      <c r="Y110" s="240"/>
      <c r="Z110" s="290"/>
      <c r="AA110" s="677"/>
      <c r="AB110" s="675"/>
      <c r="AC110" s="676"/>
      <c r="AD110" s="132"/>
      <c r="AE110" s="607"/>
      <c r="AF110" s="211"/>
    </row>
    <row r="111" spans="1:32" s="112" customFormat="1" ht="15" customHeight="1" x14ac:dyDescent="0.25">
      <c r="B111" s="177" t="s">
        <v>275</v>
      </c>
      <c r="C111" s="318"/>
      <c r="D111" s="324"/>
      <c r="E111" s="100"/>
      <c r="F111" s="322"/>
      <c r="G111" s="94"/>
      <c r="H111" s="324"/>
      <c r="I111" s="100"/>
      <c r="J111" s="162"/>
      <c r="K111" s="164"/>
      <c r="L111" s="323"/>
      <c r="M111" s="323"/>
      <c r="N111" s="166"/>
      <c r="O111" s="323"/>
      <c r="P111" s="322"/>
      <c r="Q111" s="322"/>
      <c r="R111" s="322"/>
      <c r="S111" s="322"/>
      <c r="T111" s="302"/>
      <c r="U111" s="318"/>
      <c r="V111" s="302"/>
      <c r="W111" s="134"/>
      <c r="X111" s="344"/>
      <c r="Y111" s="240"/>
      <c r="Z111" s="290"/>
      <c r="AA111" s="94"/>
      <c r="AB111" s="648"/>
      <c r="AC111" s="94"/>
      <c r="AD111" s="94"/>
      <c r="AE111" s="607"/>
      <c r="AF111" s="211"/>
    </row>
    <row r="112" spans="1:32" s="112" customFormat="1" ht="15" customHeight="1" x14ac:dyDescent="0.25">
      <c r="B112" s="177" t="s">
        <v>276</v>
      </c>
      <c r="C112" s="318"/>
      <c r="D112" s="324"/>
      <c r="E112" s="100"/>
      <c r="F112" s="322"/>
      <c r="G112" s="94"/>
      <c r="H112" s="324"/>
      <c r="I112" s="100"/>
      <c r="J112" s="162"/>
      <c r="K112" s="164"/>
      <c r="L112" s="323"/>
      <c r="M112" s="323"/>
      <c r="N112" s="166"/>
      <c r="O112" s="323"/>
      <c r="P112" s="322"/>
      <c r="Q112" s="322"/>
      <c r="R112" s="322"/>
      <c r="S112" s="322"/>
      <c r="T112" s="302"/>
      <c r="U112" s="318"/>
      <c r="V112" s="302"/>
      <c r="W112" s="134"/>
      <c r="X112" s="344"/>
      <c r="Y112" s="240"/>
      <c r="Z112" s="290"/>
      <c r="AA112" s="94"/>
      <c r="AB112" s="648"/>
      <c r="AC112" s="94"/>
      <c r="AD112" s="94"/>
      <c r="AE112" s="607"/>
      <c r="AF112" s="211"/>
    </row>
    <row r="113" spans="1:33" s="112" customFormat="1" ht="15" customHeight="1" x14ac:dyDescent="0.25">
      <c r="B113" s="306" t="s">
        <v>140</v>
      </c>
      <c r="C113" s="318"/>
      <c r="D113" s="193" t="s">
        <v>50</v>
      </c>
      <c r="E113" s="100"/>
      <c r="F113" s="321">
        <v>3</v>
      </c>
      <c r="G113" s="94"/>
      <c r="H113" s="193" t="s">
        <v>51</v>
      </c>
      <c r="I113" s="100"/>
      <c r="J113" s="321">
        <v>5</v>
      </c>
      <c r="K113" s="164"/>
      <c r="L113" s="193"/>
      <c r="M113" s="317"/>
      <c r="N113" s="323"/>
      <c r="O113" s="323"/>
      <c r="P113" s="321">
        <f>+'Staff Detail'!B8</f>
        <v>128.1</v>
      </c>
      <c r="Q113" s="322"/>
      <c r="R113" s="327">
        <f t="shared" ref="R113" si="77">P113/$V$6</f>
        <v>36.6</v>
      </c>
      <c r="S113" s="322"/>
      <c r="T113" s="319">
        <f t="shared" ref="T113" si="78">IF(N113=0,IF(J113=0,F113*P113,F113*J113*P113),F113*J113*N113*P113)</f>
        <v>1921.5</v>
      </c>
      <c r="U113" s="317"/>
      <c r="V113" s="319">
        <f t="shared" ref="V113" si="79">T113/$V$6</f>
        <v>549</v>
      </c>
      <c r="W113" s="320"/>
      <c r="X113" s="337">
        <f t="shared" ref="X113" si="80">V113/$V$3</f>
        <v>2.0433160674986574E-4</v>
      </c>
      <c r="Y113" s="167"/>
      <c r="Z113" s="326">
        <f t="shared" ref="Z113:Z118" si="81">V113/$V$601</f>
        <v>2.9605766414126533E-4</v>
      </c>
      <c r="AA113" s="635">
        <v>1</v>
      </c>
      <c r="AB113" s="638">
        <f t="shared" ref="AB113:AB118" si="82">+W113+V113*AA113</f>
        <v>549</v>
      </c>
      <c r="AC113" s="636">
        <f t="shared" ref="AC113:AC121" si="83">+AD113/V113</f>
        <v>0</v>
      </c>
      <c r="AD113" s="292">
        <f t="shared" ref="AD113:AD118" si="84">+V113-AB113</f>
        <v>0</v>
      </c>
      <c r="AE113" s="607" t="s">
        <v>99</v>
      </c>
      <c r="AF113" s="211"/>
    </row>
    <row r="114" spans="1:33" s="112" customFormat="1" ht="15" customHeight="1" x14ac:dyDescent="0.25">
      <c r="B114" s="306" t="s">
        <v>421</v>
      </c>
      <c r="C114" s="318"/>
      <c r="D114" s="193" t="s">
        <v>50</v>
      </c>
      <c r="E114" s="100"/>
      <c r="F114" s="321">
        <v>1</v>
      </c>
      <c r="G114" s="94"/>
      <c r="H114" s="193" t="s">
        <v>51</v>
      </c>
      <c r="I114" s="100"/>
      <c r="J114" s="321">
        <v>5</v>
      </c>
      <c r="K114" s="164"/>
      <c r="L114" s="193"/>
      <c r="M114" s="317"/>
      <c r="N114" s="323"/>
      <c r="O114" s="323"/>
      <c r="P114" s="321">
        <f>+'Staff Detail'!D38+'Staff Detail'!B27</f>
        <v>226.57906849315069</v>
      </c>
      <c r="Q114" s="322"/>
      <c r="R114" s="327">
        <f t="shared" ref="R114:R118" si="85">P114/$V$6</f>
        <v>64.736876712328765</v>
      </c>
      <c r="S114" s="322"/>
      <c r="T114" s="319">
        <f t="shared" ref="T114:T118" si="86">IF(N114=0,IF(J114=0,F114*P114,F114*J114*P114),F114*J114*N114*P114)</f>
        <v>1132.8953424657534</v>
      </c>
      <c r="U114" s="317"/>
      <c r="V114" s="319">
        <f t="shared" ref="V114:V118" si="87">T114/$V$6</f>
        <v>323.68438356164381</v>
      </c>
      <c r="W114" s="320"/>
      <c r="X114" s="337">
        <f t="shared" ref="X114:X118" si="88">V114/$V$3</f>
        <v>1.204716760892359E-4</v>
      </c>
      <c r="Y114" s="167"/>
      <c r="Z114" s="326">
        <f t="shared" si="81"/>
        <v>1.7455235431013778E-4</v>
      </c>
      <c r="AA114" s="635">
        <v>1</v>
      </c>
      <c r="AB114" s="638">
        <f t="shared" si="82"/>
        <v>323.68438356164381</v>
      </c>
      <c r="AC114" s="636">
        <f t="shared" ref="AC114:AC118" si="89">+AD114/V114</f>
        <v>0</v>
      </c>
      <c r="AD114" s="292">
        <f t="shared" si="84"/>
        <v>0</v>
      </c>
      <c r="AE114" s="607" t="s">
        <v>99</v>
      </c>
      <c r="AF114" s="211"/>
    </row>
    <row r="115" spans="1:33" s="112" customFormat="1" ht="15" customHeight="1" x14ac:dyDescent="0.25">
      <c r="B115" s="306" t="s">
        <v>422</v>
      </c>
      <c r="C115" s="318"/>
      <c r="D115" s="193" t="s">
        <v>50</v>
      </c>
      <c r="E115" s="100"/>
      <c r="F115" s="321">
        <v>1</v>
      </c>
      <c r="G115" s="94"/>
      <c r="H115" s="193" t="s">
        <v>51</v>
      </c>
      <c r="I115" s="100"/>
      <c r="J115" s="321">
        <v>5</v>
      </c>
      <c r="K115" s="164"/>
      <c r="L115" s="193"/>
      <c r="M115" s="317"/>
      <c r="N115" s="323"/>
      <c r="O115" s="323"/>
      <c r="P115" s="321">
        <f>+'Staff Detail'!B26</f>
        <v>320.96027397260275</v>
      </c>
      <c r="Q115" s="322"/>
      <c r="R115" s="327">
        <f t="shared" si="85"/>
        <v>91.702935420743643</v>
      </c>
      <c r="S115" s="322"/>
      <c r="T115" s="319">
        <f t="shared" si="86"/>
        <v>1604.8013698630139</v>
      </c>
      <c r="U115" s="317"/>
      <c r="V115" s="319">
        <f t="shared" si="87"/>
        <v>458.51467710371827</v>
      </c>
      <c r="W115" s="320"/>
      <c r="X115" s="337">
        <f t="shared" si="88"/>
        <v>1.7065399032968785E-4</v>
      </c>
      <c r="Y115" s="167"/>
      <c r="Z115" s="326">
        <f t="shared" si="81"/>
        <v>2.4726190214537948E-4</v>
      </c>
      <c r="AA115" s="635">
        <v>1</v>
      </c>
      <c r="AB115" s="638">
        <f t="shared" si="82"/>
        <v>458.51467710371827</v>
      </c>
      <c r="AC115" s="636">
        <f t="shared" si="89"/>
        <v>0</v>
      </c>
      <c r="AD115" s="292">
        <f t="shared" si="84"/>
        <v>0</v>
      </c>
      <c r="AE115" s="607" t="s">
        <v>99</v>
      </c>
      <c r="AF115" s="211"/>
    </row>
    <row r="116" spans="1:33" s="112" customFormat="1" ht="15" customHeight="1" x14ac:dyDescent="0.25">
      <c r="B116" s="306" t="s">
        <v>418</v>
      </c>
      <c r="C116" s="318"/>
      <c r="D116" s="193" t="s">
        <v>50</v>
      </c>
      <c r="E116" s="100"/>
      <c r="F116" s="321">
        <v>2</v>
      </c>
      <c r="G116" s="94"/>
      <c r="H116" s="193" t="s">
        <v>51</v>
      </c>
      <c r="I116" s="100"/>
      <c r="J116" s="321">
        <v>5</v>
      </c>
      <c r="K116" s="164"/>
      <c r="L116" s="193"/>
      <c r="M116" s="317"/>
      <c r="N116" s="323"/>
      <c r="O116" s="323"/>
      <c r="P116" s="321">
        <f>+'Staff Detail'!B38</f>
        <v>383.56164383561645</v>
      </c>
      <c r="Q116" s="322"/>
      <c r="R116" s="327">
        <f t="shared" si="85"/>
        <v>109.58904109589041</v>
      </c>
      <c r="S116" s="322"/>
      <c r="T116" s="319">
        <f t="shared" si="86"/>
        <v>3835.6164383561645</v>
      </c>
      <c r="U116" s="317"/>
      <c r="V116" s="319">
        <f t="shared" si="87"/>
        <v>1095.8904109589041</v>
      </c>
      <c r="W116" s="320"/>
      <c r="X116" s="337">
        <f t="shared" si="88"/>
        <v>4.0787804825683703E-4</v>
      </c>
      <c r="Y116" s="167"/>
      <c r="Z116" s="326">
        <f t="shared" si="81"/>
        <v>5.9097769621731233E-4</v>
      </c>
      <c r="AA116" s="635">
        <v>1</v>
      </c>
      <c r="AB116" s="638">
        <f t="shared" si="82"/>
        <v>1095.8904109589041</v>
      </c>
      <c r="AC116" s="636">
        <f t="shared" si="89"/>
        <v>0</v>
      </c>
      <c r="AD116" s="292">
        <f t="shared" si="84"/>
        <v>0</v>
      </c>
      <c r="AE116" s="607" t="s">
        <v>99</v>
      </c>
      <c r="AF116" s="211"/>
    </row>
    <row r="117" spans="1:33" s="112" customFormat="1" ht="15" customHeight="1" x14ac:dyDescent="0.25">
      <c r="B117" s="306" t="s">
        <v>412</v>
      </c>
      <c r="C117" s="318"/>
      <c r="D117" s="193" t="s">
        <v>50</v>
      </c>
      <c r="E117" s="100"/>
      <c r="F117" s="321">
        <v>1</v>
      </c>
      <c r="G117" s="94"/>
      <c r="H117" s="193" t="s">
        <v>51</v>
      </c>
      <c r="I117" s="100"/>
      <c r="J117" s="321">
        <v>5</v>
      </c>
      <c r="K117" s="164"/>
      <c r="L117" s="193"/>
      <c r="M117" s="317"/>
      <c r="N117" s="323"/>
      <c r="O117" s="323"/>
      <c r="P117" s="321">
        <f>+'Staff Detail'!B37</f>
        <v>383.56164383561645</v>
      </c>
      <c r="Q117" s="322"/>
      <c r="R117" s="327">
        <f t="shared" si="85"/>
        <v>109.58904109589041</v>
      </c>
      <c r="S117" s="322"/>
      <c r="T117" s="319">
        <f t="shared" si="86"/>
        <v>1917.8082191780823</v>
      </c>
      <c r="U117" s="317"/>
      <c r="V117" s="319">
        <f t="shared" si="87"/>
        <v>547.94520547945206</v>
      </c>
      <c r="W117" s="320"/>
      <c r="X117" s="337">
        <f t="shared" si="88"/>
        <v>2.0393902412841852E-4</v>
      </c>
      <c r="Y117" s="167"/>
      <c r="Z117" s="326">
        <f t="shared" si="81"/>
        <v>2.9548884810865617E-4</v>
      </c>
      <c r="AA117" s="635">
        <v>1</v>
      </c>
      <c r="AB117" s="638">
        <f t="shared" si="82"/>
        <v>547.94520547945206</v>
      </c>
      <c r="AC117" s="636">
        <f t="shared" si="89"/>
        <v>0</v>
      </c>
      <c r="AD117" s="292">
        <f t="shared" si="84"/>
        <v>0</v>
      </c>
      <c r="AE117" s="607" t="s">
        <v>99</v>
      </c>
      <c r="AF117" s="211"/>
    </row>
    <row r="118" spans="1:33" s="112" customFormat="1" ht="15" customHeight="1" x14ac:dyDescent="0.25">
      <c r="B118" s="306" t="s">
        <v>105</v>
      </c>
      <c r="C118" s="318"/>
      <c r="D118" s="193" t="s">
        <v>50</v>
      </c>
      <c r="E118" s="100"/>
      <c r="F118" s="321">
        <v>2</v>
      </c>
      <c r="G118" s="94"/>
      <c r="H118" s="193" t="s">
        <v>51</v>
      </c>
      <c r="I118" s="100"/>
      <c r="J118" s="321">
        <v>5</v>
      </c>
      <c r="K118" s="164"/>
      <c r="L118" s="193"/>
      <c r="M118" s="317"/>
      <c r="N118" s="323"/>
      <c r="O118" s="323"/>
      <c r="P118" s="321">
        <f>+'Staff Detail'!B31</f>
        <v>31</v>
      </c>
      <c r="Q118" s="322"/>
      <c r="R118" s="327">
        <f t="shared" si="85"/>
        <v>8.8571428571428577</v>
      </c>
      <c r="S118" s="322"/>
      <c r="T118" s="319">
        <f t="shared" si="86"/>
        <v>310</v>
      </c>
      <c r="U118" s="317"/>
      <c r="V118" s="319">
        <f t="shared" si="87"/>
        <v>88.571428571428569</v>
      </c>
      <c r="W118" s="320"/>
      <c r="X118" s="337">
        <f t="shared" si="88"/>
        <v>3.2965286543043654E-5</v>
      </c>
      <c r="Y118" s="167"/>
      <c r="Z118" s="326">
        <f t="shared" si="81"/>
        <v>4.7763661662134923E-5</v>
      </c>
      <c r="AA118" s="635">
        <v>1</v>
      </c>
      <c r="AB118" s="638">
        <f t="shared" si="82"/>
        <v>88.571428571428569</v>
      </c>
      <c r="AC118" s="636">
        <f t="shared" si="89"/>
        <v>0</v>
      </c>
      <c r="AD118" s="292">
        <f t="shared" si="84"/>
        <v>0</v>
      </c>
      <c r="AE118" s="607" t="s">
        <v>99</v>
      </c>
      <c r="AF118" s="211"/>
    </row>
    <row r="119" spans="1:33" s="112" customFormat="1" ht="15" customHeight="1" x14ac:dyDescent="0.25">
      <c r="A119" s="455"/>
      <c r="B119" s="126" t="s">
        <v>240</v>
      </c>
      <c r="C119" s="801"/>
      <c r="D119" s="802" t="s">
        <v>50</v>
      </c>
      <c r="E119" s="803"/>
      <c r="F119" s="804">
        <v>3</v>
      </c>
      <c r="G119" s="805"/>
      <c r="H119" s="802" t="s">
        <v>51</v>
      </c>
      <c r="I119" s="803"/>
      <c r="J119" s="806">
        <v>0.33</v>
      </c>
      <c r="K119" s="807"/>
      <c r="L119" s="802"/>
      <c r="M119" s="805"/>
      <c r="N119" s="808"/>
      <c r="O119" s="808"/>
      <c r="P119" s="809">
        <f>+'Staff Detail'!B16</f>
        <v>89.67</v>
      </c>
      <c r="Q119" s="807"/>
      <c r="R119" s="810">
        <v>25.6</v>
      </c>
      <c r="S119" s="807"/>
      <c r="T119" s="811">
        <v>89</v>
      </c>
      <c r="U119" s="805"/>
      <c r="V119" s="811">
        <v>25</v>
      </c>
      <c r="W119" s="811"/>
      <c r="X119" s="812">
        <v>0</v>
      </c>
      <c r="Y119" s="813"/>
      <c r="Z119" s="814">
        <v>0</v>
      </c>
      <c r="AA119" s="815">
        <v>1</v>
      </c>
      <c r="AB119" s="816">
        <v>25</v>
      </c>
      <c r="AC119" s="817">
        <v>0</v>
      </c>
      <c r="AD119" s="818">
        <v>0</v>
      </c>
      <c r="AE119" s="819" t="s">
        <v>99</v>
      </c>
      <c r="AF119" s="820"/>
      <c r="AG119" s="455"/>
    </row>
    <row r="120" spans="1:33" s="112" customFormat="1" ht="15" customHeight="1" x14ac:dyDescent="0.25">
      <c r="B120" s="178" t="s">
        <v>447</v>
      </c>
      <c r="C120" s="318"/>
      <c r="D120" s="193" t="s">
        <v>50</v>
      </c>
      <c r="E120" s="317"/>
      <c r="F120" s="321">
        <f>+SUM(F113:F118)</f>
        <v>10</v>
      </c>
      <c r="G120" s="317"/>
      <c r="H120" s="193" t="s">
        <v>448</v>
      </c>
      <c r="I120" s="100"/>
      <c r="J120" s="321">
        <v>5</v>
      </c>
      <c r="K120" s="322"/>
      <c r="L120" s="193"/>
      <c r="M120" s="323"/>
      <c r="N120" s="323"/>
      <c r="O120" s="323"/>
      <c r="P120" s="321">
        <f>+'Staff Detail'!D59+'Staff Detail'!B51</f>
        <v>350</v>
      </c>
      <c r="Q120" s="322"/>
      <c r="R120" s="327">
        <f t="shared" ref="R120:R121" si="90">P120/$V$6</f>
        <v>100</v>
      </c>
      <c r="S120" s="322"/>
      <c r="T120" s="319">
        <f t="shared" ref="T120:T121" si="91">IF(N120=0,IF(J120=0,F120*P120,F120*J120*P120),F120*J120*N120*P120)</f>
        <v>17500</v>
      </c>
      <c r="U120" s="317"/>
      <c r="V120" s="319">
        <f t="shared" ref="V120:V121" si="92">T120/$V$6</f>
        <v>5000</v>
      </c>
      <c r="W120" s="320"/>
      <c r="X120" s="337">
        <f t="shared" ref="X120:X121" si="93">V120/$V$3</f>
        <v>1.860943595171819E-3</v>
      </c>
      <c r="Y120" s="167"/>
      <c r="Z120" s="326">
        <f>V120/$V$601</f>
        <v>2.6963357389914876E-3</v>
      </c>
      <c r="AA120" s="635">
        <v>1</v>
      </c>
      <c r="AB120" s="638">
        <f>+W120+V120*AA120</f>
        <v>5000</v>
      </c>
      <c r="AC120" s="636">
        <f t="shared" si="83"/>
        <v>0</v>
      </c>
      <c r="AD120" s="292">
        <f>+V120-AB120</f>
        <v>0</v>
      </c>
      <c r="AE120" s="607" t="s">
        <v>102</v>
      </c>
      <c r="AF120" s="211"/>
    </row>
    <row r="121" spans="1:33" s="112" customFormat="1" ht="15" customHeight="1" x14ac:dyDescent="0.25">
      <c r="B121" s="178" t="s">
        <v>17</v>
      </c>
      <c r="C121" s="318"/>
      <c r="D121" s="193" t="s">
        <v>98</v>
      </c>
      <c r="E121" s="317"/>
      <c r="F121" s="321">
        <v>3</v>
      </c>
      <c r="G121" s="317"/>
      <c r="H121" s="193" t="s">
        <v>54</v>
      </c>
      <c r="I121" s="100"/>
      <c r="J121" s="321">
        <v>45</v>
      </c>
      <c r="K121" s="164"/>
      <c r="L121" s="193" t="s">
        <v>51</v>
      </c>
      <c r="M121" s="163"/>
      <c r="N121" s="321">
        <v>5</v>
      </c>
      <c r="O121" s="165"/>
      <c r="P121" s="321">
        <v>3.3</v>
      </c>
      <c r="Q121" s="322"/>
      <c r="R121" s="327">
        <f t="shared" si="90"/>
        <v>0.94285714285714284</v>
      </c>
      <c r="S121" s="322"/>
      <c r="T121" s="319">
        <f t="shared" si="91"/>
        <v>2227.5</v>
      </c>
      <c r="U121" s="317"/>
      <c r="V121" s="319">
        <f t="shared" si="92"/>
        <v>636.42857142857144</v>
      </c>
      <c r="W121" s="320"/>
      <c r="X121" s="337">
        <f t="shared" si="93"/>
        <v>2.3687153475687012E-4</v>
      </c>
      <c r="Y121" s="167"/>
      <c r="Z121" s="326">
        <f>V121/$V$601</f>
        <v>3.4320502049163076E-4</v>
      </c>
      <c r="AA121" s="635">
        <v>1</v>
      </c>
      <c r="AB121" s="638">
        <f>+W121+V121*AA121</f>
        <v>636.42857142857144</v>
      </c>
      <c r="AC121" s="636">
        <f t="shared" si="83"/>
        <v>0</v>
      </c>
      <c r="AD121" s="292">
        <f>+V121-AB121</f>
        <v>0</v>
      </c>
      <c r="AE121" s="611" t="s">
        <v>55</v>
      </c>
      <c r="AF121" s="211"/>
    </row>
    <row r="122" spans="1:33" s="112" customFormat="1" ht="15" customHeight="1" thickBot="1" x14ac:dyDescent="0.3">
      <c r="A122" s="112" t="s">
        <v>277</v>
      </c>
      <c r="B122" s="176" t="s">
        <v>96</v>
      </c>
      <c r="C122" s="318"/>
      <c r="D122" s="324"/>
      <c r="E122" s="317"/>
      <c r="F122" s="322"/>
      <c r="G122" s="317"/>
      <c r="H122" s="324"/>
      <c r="I122" s="317"/>
      <c r="J122" s="162"/>
      <c r="K122" s="322"/>
      <c r="L122" s="323"/>
      <c r="M122" s="323"/>
      <c r="N122" s="166"/>
      <c r="O122" s="323"/>
      <c r="P122" s="322"/>
      <c r="Q122" s="322"/>
      <c r="R122" s="322"/>
      <c r="S122" s="322"/>
      <c r="T122" s="133">
        <f>SUM(T113:T121)</f>
        <v>30539.121369863013</v>
      </c>
      <c r="U122" s="318"/>
      <c r="V122" s="133">
        <f>SUM(V113:V121)</f>
        <v>8725.0346771037184</v>
      </c>
      <c r="W122" s="134"/>
      <c r="X122" s="672">
        <f>SUM(X113:X121)</f>
        <v>3.2380547620257782E-3</v>
      </c>
      <c r="Y122" s="240"/>
      <c r="Z122" s="286">
        <f>V122/$V$601</f>
        <v>4.7051245647629619E-3</v>
      </c>
      <c r="AA122" s="668"/>
      <c r="AB122" s="133">
        <f>SUM(AB113:AB121)</f>
        <v>8725.0346771037184</v>
      </c>
      <c r="AC122" s="637"/>
      <c r="AD122" s="133">
        <f>SUM(AD113:AD121)</f>
        <v>0</v>
      </c>
      <c r="AE122" s="607"/>
      <c r="AF122" s="211"/>
    </row>
    <row r="123" spans="1:33" s="112" customFormat="1" ht="15" customHeight="1" thickBot="1" x14ac:dyDescent="0.3">
      <c r="B123" s="177"/>
      <c r="C123" s="318"/>
      <c r="D123" s="324"/>
      <c r="E123" s="100"/>
      <c r="F123" s="322"/>
      <c r="G123" s="94"/>
      <c r="H123" s="324"/>
      <c r="I123" s="100"/>
      <c r="J123" s="162"/>
      <c r="K123" s="164"/>
      <c r="L123" s="323"/>
      <c r="M123" s="323"/>
      <c r="N123" s="166"/>
      <c r="O123" s="323"/>
      <c r="P123" s="322"/>
      <c r="Q123" s="322"/>
      <c r="R123" s="322"/>
      <c r="S123" s="322"/>
      <c r="T123" s="302"/>
      <c r="U123" s="318"/>
      <c r="V123" s="302"/>
      <c r="W123" s="134"/>
      <c r="X123" s="710"/>
      <c r="Y123" s="240"/>
      <c r="Z123" s="290"/>
      <c r="AA123" s="677"/>
      <c r="AB123" s="133"/>
      <c r="AC123" s="676"/>
      <c r="AD123" s="671"/>
      <c r="AE123" s="607"/>
      <c r="AF123" s="211"/>
    </row>
    <row r="124" spans="1:33" s="112" customFormat="1" ht="15" customHeight="1" x14ac:dyDescent="0.25">
      <c r="B124" s="177" t="s">
        <v>450</v>
      </c>
      <c r="C124" s="318"/>
      <c r="D124" s="324"/>
      <c r="E124" s="100"/>
      <c r="F124" s="322"/>
      <c r="G124" s="94"/>
      <c r="H124" s="324"/>
      <c r="I124" s="100"/>
      <c r="J124" s="162"/>
      <c r="K124" s="164"/>
      <c r="L124" s="323"/>
      <c r="M124" s="323"/>
      <c r="N124" s="166"/>
      <c r="O124" s="323"/>
      <c r="P124" s="322"/>
      <c r="Q124" s="322"/>
      <c r="R124" s="322"/>
      <c r="S124" s="322"/>
      <c r="T124" s="302"/>
      <c r="U124" s="318"/>
      <c r="V124" s="302"/>
      <c r="W124" s="134"/>
      <c r="X124" s="344"/>
      <c r="Y124" s="240"/>
      <c r="Z124" s="290"/>
      <c r="AA124" s="94"/>
      <c r="AB124" s="648"/>
      <c r="AC124" s="94"/>
      <c r="AD124" s="94"/>
      <c r="AE124" s="607"/>
      <c r="AF124" s="211"/>
    </row>
    <row r="125" spans="1:33" s="112" customFormat="1" ht="15" customHeight="1" x14ac:dyDescent="0.25">
      <c r="B125" s="177" t="s">
        <v>451</v>
      </c>
      <c r="C125" s="318"/>
      <c r="D125" s="324"/>
      <c r="E125" s="100"/>
      <c r="F125" s="322"/>
      <c r="G125" s="94"/>
      <c r="H125" s="324"/>
      <c r="I125" s="100"/>
      <c r="J125" s="162"/>
      <c r="K125" s="164"/>
      <c r="L125" s="323"/>
      <c r="M125" s="323"/>
      <c r="N125" s="166"/>
      <c r="O125" s="323"/>
      <c r="P125" s="322"/>
      <c r="Q125" s="322"/>
      <c r="R125" s="322"/>
      <c r="S125" s="322"/>
      <c r="T125" s="302"/>
      <c r="U125" s="318"/>
      <c r="V125" s="302"/>
      <c r="W125" s="134"/>
      <c r="X125" s="344"/>
      <c r="Y125" s="240"/>
      <c r="Z125" s="290"/>
      <c r="AA125" s="94"/>
      <c r="AB125" s="648"/>
      <c r="AC125" s="94"/>
      <c r="AD125" s="94"/>
      <c r="AE125" s="607"/>
      <c r="AF125" s="211"/>
    </row>
    <row r="126" spans="1:33" s="112" customFormat="1" ht="15" customHeight="1" x14ac:dyDescent="0.25">
      <c r="B126" s="306" t="s">
        <v>443</v>
      </c>
      <c r="C126" s="318"/>
      <c r="D126" s="193" t="s">
        <v>50</v>
      </c>
      <c r="E126" s="100"/>
      <c r="F126" s="321">
        <v>1</v>
      </c>
      <c r="G126" s="94"/>
      <c r="H126" s="193" t="s">
        <v>51</v>
      </c>
      <c r="I126" s="100"/>
      <c r="J126" s="321">
        <v>6</v>
      </c>
      <c r="K126" s="164"/>
      <c r="L126" s="193"/>
      <c r="M126" s="317"/>
      <c r="N126" s="323"/>
      <c r="O126" s="323"/>
      <c r="P126" s="321">
        <f>+'Staff Detail'!B20</f>
        <v>128.1</v>
      </c>
      <c r="Q126" s="322"/>
      <c r="R126" s="327">
        <f t="shared" ref="R126:R142" si="94">P126/$V$6</f>
        <v>36.6</v>
      </c>
      <c r="S126" s="322"/>
      <c r="T126" s="319">
        <f t="shared" ref="T126:T142" si="95">IF(N126=0,IF(J126=0,F126*P126,F126*J126*P126),F126*J126*N126*P126)</f>
        <v>768.59999999999991</v>
      </c>
      <c r="U126" s="317"/>
      <c r="V126" s="319">
        <f t="shared" ref="V126:V142" si="96">T126/$V$6</f>
        <v>219.59999999999997</v>
      </c>
      <c r="W126" s="320"/>
      <c r="X126" s="337">
        <f t="shared" ref="X126:X142" si="97">V126/$V$3</f>
        <v>8.1732642699946278E-5</v>
      </c>
      <c r="Y126" s="167"/>
      <c r="Z126" s="326">
        <f t="shared" ref="Z126:Z139" si="98">V126/$V$601</f>
        <v>1.1842306565650611E-4</v>
      </c>
      <c r="AA126" s="635">
        <v>1</v>
      </c>
      <c r="AB126" s="638">
        <f>+W126+V126*AA126</f>
        <v>219.59999999999997</v>
      </c>
      <c r="AC126" s="636">
        <f t="shared" ref="AC126:AC142" si="99">+AD126/V126</f>
        <v>0</v>
      </c>
      <c r="AD126" s="292">
        <f t="shared" ref="AD126:AD139" si="100">+V126-AB126</f>
        <v>0</v>
      </c>
      <c r="AE126" s="607" t="s">
        <v>99</v>
      </c>
      <c r="AF126" s="211"/>
    </row>
    <row r="127" spans="1:33" s="112" customFormat="1" ht="15" customHeight="1" x14ac:dyDescent="0.25">
      <c r="B127" s="306" t="s">
        <v>452</v>
      </c>
      <c r="C127" s="318"/>
      <c r="D127" s="193" t="s">
        <v>50</v>
      </c>
      <c r="E127" s="100"/>
      <c r="F127" s="321">
        <v>1</v>
      </c>
      <c r="G127" s="94"/>
      <c r="H127" s="193" t="s">
        <v>51</v>
      </c>
      <c r="I127" s="100"/>
      <c r="J127" s="321">
        <v>6</v>
      </c>
      <c r="K127" s="164"/>
      <c r="L127" s="193"/>
      <c r="M127" s="317"/>
      <c r="N127" s="323"/>
      <c r="O127" s="323"/>
      <c r="P127" s="321">
        <f>+'Staff Detail'!D36+'Staff Detail'!B28</f>
        <v>249.04043835616437</v>
      </c>
      <c r="Q127" s="322"/>
      <c r="R127" s="327">
        <f t="shared" si="94"/>
        <v>71.154410958904108</v>
      </c>
      <c r="S127" s="322"/>
      <c r="T127" s="319">
        <f t="shared" si="95"/>
        <v>1494.2426301369862</v>
      </c>
      <c r="U127" s="317"/>
      <c r="V127" s="319">
        <f t="shared" si="96"/>
        <v>426.92646575342462</v>
      </c>
      <c r="W127" s="320"/>
      <c r="X127" s="337">
        <f t="shared" si="97"/>
        <v>1.5889721441063529E-4</v>
      </c>
      <c r="Y127" s="167"/>
      <c r="Z127" s="326">
        <f t="shared" si="98"/>
        <v>2.3022741750645682E-4</v>
      </c>
      <c r="AA127" s="635">
        <v>1</v>
      </c>
      <c r="AB127" s="638">
        <f>+W127+V127*AA127</f>
        <v>426.92646575342462</v>
      </c>
      <c r="AC127" s="636">
        <f t="shared" si="99"/>
        <v>0</v>
      </c>
      <c r="AD127" s="292">
        <f t="shared" si="100"/>
        <v>0</v>
      </c>
      <c r="AE127" s="607" t="s">
        <v>99</v>
      </c>
      <c r="AF127" s="211"/>
    </row>
    <row r="128" spans="1:33" s="112" customFormat="1" ht="15" customHeight="1" x14ac:dyDescent="0.25">
      <c r="B128" s="306" t="s">
        <v>105</v>
      </c>
      <c r="C128" s="318"/>
      <c r="D128" s="193" t="s">
        <v>50</v>
      </c>
      <c r="E128" s="100"/>
      <c r="F128" s="321">
        <v>1</v>
      </c>
      <c r="G128" s="94"/>
      <c r="H128" s="193" t="s">
        <v>51</v>
      </c>
      <c r="I128" s="100"/>
      <c r="J128" s="321">
        <v>6</v>
      </c>
      <c r="K128" s="164"/>
      <c r="L128" s="193"/>
      <c r="M128" s="317"/>
      <c r="N128" s="323"/>
      <c r="O128" s="323"/>
      <c r="P128" s="321">
        <f>+'Staff Detail'!B22</f>
        <v>31</v>
      </c>
      <c r="Q128" s="322"/>
      <c r="R128" s="327">
        <f t="shared" ref="R128:R129" si="101">P128/$V$6</f>
        <v>8.8571428571428577</v>
      </c>
      <c r="S128" s="322"/>
      <c r="T128" s="319">
        <f t="shared" ref="T128:T129" si="102">IF(N128=0,IF(J128=0,F128*P128,F128*J128*P128),F128*J128*N128*P128)</f>
        <v>186</v>
      </c>
      <c r="U128" s="317"/>
      <c r="V128" s="319">
        <f t="shared" ref="V128:V129" si="103">T128/$V$6</f>
        <v>53.142857142857146</v>
      </c>
      <c r="W128" s="320"/>
      <c r="X128" s="337">
        <f t="shared" ref="X128:X129" si="104">V128/$V$3</f>
        <v>1.9779171925826191E-5</v>
      </c>
      <c r="Y128" s="167"/>
      <c r="Z128" s="326">
        <f t="shared" si="98"/>
        <v>2.8658196997280954E-5</v>
      </c>
      <c r="AA128" s="635">
        <v>1</v>
      </c>
      <c r="AB128" s="638">
        <f>+W128+V128*AA128</f>
        <v>53.142857142857146</v>
      </c>
      <c r="AC128" s="636">
        <f t="shared" ref="AC128:AC129" si="105">+AD128/V128</f>
        <v>0</v>
      </c>
      <c r="AD128" s="292">
        <f t="shared" si="100"/>
        <v>0</v>
      </c>
      <c r="AE128" s="607" t="s">
        <v>99</v>
      </c>
      <c r="AF128" s="211"/>
    </row>
    <row r="129" spans="1:33" s="112" customFormat="1" ht="15" customHeight="1" x14ac:dyDescent="0.25">
      <c r="B129" s="796" t="s">
        <v>207</v>
      </c>
      <c r="C129" s="318"/>
      <c r="D129" s="193"/>
      <c r="E129" s="100"/>
      <c r="F129" s="321"/>
      <c r="G129" s="94"/>
      <c r="H129" s="193"/>
      <c r="I129" s="100"/>
      <c r="J129" s="321"/>
      <c r="K129" s="164"/>
      <c r="L129" s="193"/>
      <c r="M129" s="317"/>
      <c r="N129" s="323"/>
      <c r="O129" s="323"/>
      <c r="P129" s="321"/>
      <c r="Q129" s="322"/>
      <c r="R129" s="327">
        <f t="shared" si="101"/>
        <v>0</v>
      </c>
      <c r="S129" s="322"/>
      <c r="T129" s="319">
        <f t="shared" si="102"/>
        <v>0</v>
      </c>
      <c r="U129" s="317"/>
      <c r="V129" s="319">
        <f t="shared" si="103"/>
        <v>0</v>
      </c>
      <c r="W129" s="320"/>
      <c r="X129" s="337">
        <f t="shared" si="104"/>
        <v>0</v>
      </c>
      <c r="Y129" s="167"/>
      <c r="Z129" s="326">
        <f t="shared" si="98"/>
        <v>0</v>
      </c>
      <c r="AA129" s="635">
        <v>1</v>
      </c>
      <c r="AB129" s="638">
        <f>+W129+V129*AA129</f>
        <v>0</v>
      </c>
      <c r="AC129" s="636" t="e">
        <f t="shared" si="105"/>
        <v>#DIV/0!</v>
      </c>
      <c r="AD129" s="292">
        <f t="shared" si="100"/>
        <v>0</v>
      </c>
      <c r="AE129" s="607" t="s">
        <v>99</v>
      </c>
      <c r="AF129" s="211"/>
    </row>
    <row r="130" spans="1:33" s="112" customFormat="1" ht="15" customHeight="1" x14ac:dyDescent="0.25">
      <c r="B130" s="306" t="s">
        <v>453</v>
      </c>
      <c r="C130" s="318"/>
      <c r="D130" s="193" t="s">
        <v>50</v>
      </c>
      <c r="E130" s="100"/>
      <c r="F130" s="321">
        <v>1</v>
      </c>
      <c r="G130" s="94"/>
      <c r="H130" s="193" t="s">
        <v>51</v>
      </c>
      <c r="I130" s="100"/>
      <c r="J130" s="321">
        <v>6</v>
      </c>
      <c r="K130" s="164"/>
      <c r="L130" s="193"/>
      <c r="M130" s="317"/>
      <c r="N130" s="323"/>
      <c r="O130" s="323"/>
      <c r="P130" s="321">
        <f>+'Staff Detail'!B8</f>
        <v>128.1</v>
      </c>
      <c r="Q130" s="322"/>
      <c r="R130" s="327">
        <f t="shared" si="94"/>
        <v>36.6</v>
      </c>
      <c r="S130" s="322"/>
      <c r="T130" s="319">
        <f t="shared" si="95"/>
        <v>768.59999999999991</v>
      </c>
      <c r="U130" s="317"/>
      <c r="V130" s="319">
        <f t="shared" si="96"/>
        <v>219.59999999999997</v>
      </c>
      <c r="W130" s="320"/>
      <c r="X130" s="337">
        <f t="shared" si="97"/>
        <v>8.1732642699946278E-5</v>
      </c>
      <c r="Y130" s="167"/>
      <c r="Z130" s="326">
        <f t="shared" si="98"/>
        <v>1.1842306565650611E-4</v>
      </c>
      <c r="AA130" s="635">
        <v>1</v>
      </c>
      <c r="AB130" s="638">
        <f t="shared" ref="AB130:AB142" si="106">+W130+V130*AA130</f>
        <v>219.59999999999997</v>
      </c>
      <c r="AC130" s="636">
        <f t="shared" si="99"/>
        <v>0</v>
      </c>
      <c r="AD130" s="292">
        <f t="shared" si="100"/>
        <v>0</v>
      </c>
      <c r="AE130" s="607" t="s">
        <v>99</v>
      </c>
      <c r="AF130" s="211"/>
    </row>
    <row r="131" spans="1:33" s="112" customFormat="1" ht="15" customHeight="1" x14ac:dyDescent="0.25">
      <c r="B131" s="306" t="s">
        <v>496</v>
      </c>
      <c r="C131" s="318"/>
      <c r="D131" s="193" t="s">
        <v>50</v>
      </c>
      <c r="E131" s="100"/>
      <c r="F131" s="321">
        <v>1</v>
      </c>
      <c r="G131" s="94"/>
      <c r="H131" s="193" t="s">
        <v>51</v>
      </c>
      <c r="I131" s="100"/>
      <c r="J131" s="321">
        <v>6</v>
      </c>
      <c r="K131" s="164"/>
      <c r="L131" s="193"/>
      <c r="M131" s="317"/>
      <c r="N131" s="323"/>
      <c r="O131" s="323"/>
      <c r="P131" s="321">
        <f>+'Staff Detail'!B15</f>
        <v>119.56</v>
      </c>
      <c r="Q131" s="322"/>
      <c r="R131" s="327">
        <f t="shared" si="94"/>
        <v>34.160000000000004</v>
      </c>
      <c r="S131" s="322"/>
      <c r="T131" s="319">
        <f t="shared" si="95"/>
        <v>717.36</v>
      </c>
      <c r="U131" s="317"/>
      <c r="V131" s="319">
        <f t="shared" si="96"/>
        <v>204.96</v>
      </c>
      <c r="W131" s="320"/>
      <c r="X131" s="337">
        <f t="shared" si="97"/>
        <v>7.6283799853283204E-5</v>
      </c>
      <c r="Y131" s="167"/>
      <c r="Z131" s="326">
        <f t="shared" si="98"/>
        <v>1.1052819461273906E-4</v>
      </c>
      <c r="AA131" s="635">
        <v>1</v>
      </c>
      <c r="AB131" s="638">
        <f t="shared" si="106"/>
        <v>204.96</v>
      </c>
      <c r="AC131" s="636">
        <f t="shared" si="99"/>
        <v>0</v>
      </c>
      <c r="AD131" s="292">
        <f t="shared" si="100"/>
        <v>0</v>
      </c>
      <c r="AE131" s="607" t="s">
        <v>99</v>
      </c>
      <c r="AF131" s="211"/>
    </row>
    <row r="132" spans="1:33" s="112" customFormat="1" ht="15" customHeight="1" x14ac:dyDescent="0.25">
      <c r="B132" s="306" t="s">
        <v>422</v>
      </c>
      <c r="C132" s="318"/>
      <c r="D132" s="193" t="s">
        <v>50</v>
      </c>
      <c r="E132" s="100"/>
      <c r="F132" s="321">
        <v>1</v>
      </c>
      <c r="G132" s="94"/>
      <c r="H132" s="193" t="s">
        <v>51</v>
      </c>
      <c r="I132" s="100"/>
      <c r="J132" s="321">
        <v>6</v>
      </c>
      <c r="K132" s="164"/>
      <c r="L132" s="193"/>
      <c r="M132" s="317"/>
      <c r="N132" s="323"/>
      <c r="O132" s="323"/>
      <c r="P132" s="321">
        <f>'Staff Detail'!B26</f>
        <v>320.96027397260275</v>
      </c>
      <c r="Q132" s="322"/>
      <c r="R132" s="327">
        <f t="shared" ref="R132:R134" si="107">P132/$V$6</f>
        <v>91.702935420743643</v>
      </c>
      <c r="S132" s="322"/>
      <c r="T132" s="319">
        <f t="shared" ref="T132:T134" si="108">IF(N132=0,IF(J132=0,F132*P132,F132*J132*P132),F132*J132*N132*P132)</f>
        <v>1925.7616438356165</v>
      </c>
      <c r="U132" s="317"/>
      <c r="V132" s="319">
        <f t="shared" ref="V132:V134" si="109">T132/$V$6</f>
        <v>550.21761252446186</v>
      </c>
      <c r="W132" s="320"/>
      <c r="X132" s="337">
        <f t="shared" ref="X132:X134" si="110">V132/$V$3</f>
        <v>2.0478478839562538E-4</v>
      </c>
      <c r="Y132" s="167"/>
      <c r="Z132" s="326">
        <f t="shared" si="98"/>
        <v>2.9671428257445538E-4</v>
      </c>
      <c r="AA132" s="635">
        <v>1</v>
      </c>
      <c r="AB132" s="638">
        <f t="shared" si="106"/>
        <v>550.21761252446186</v>
      </c>
      <c r="AC132" s="636">
        <f t="shared" ref="AC132:AC134" si="111">+AD132/V132</f>
        <v>0</v>
      </c>
      <c r="AD132" s="292">
        <f t="shared" si="100"/>
        <v>0</v>
      </c>
      <c r="AE132" s="607" t="s">
        <v>99</v>
      </c>
      <c r="AF132" s="211"/>
    </row>
    <row r="133" spans="1:33" s="112" customFormat="1" ht="15" customHeight="1" x14ac:dyDescent="0.25">
      <c r="B133" s="306" t="s">
        <v>454</v>
      </c>
      <c r="C133" s="318"/>
      <c r="D133" s="193" t="s">
        <v>50</v>
      </c>
      <c r="E133" s="100"/>
      <c r="F133" s="321">
        <v>2</v>
      </c>
      <c r="G133" s="94"/>
      <c r="H133" s="193" t="s">
        <v>51</v>
      </c>
      <c r="I133" s="100"/>
      <c r="J133" s="321">
        <v>6</v>
      </c>
      <c r="K133" s="164"/>
      <c r="L133" s="193"/>
      <c r="M133" s="317"/>
      <c r="N133" s="323"/>
      <c r="O133" s="323"/>
      <c r="P133" s="321">
        <f>+'Staff Detail'!B31</f>
        <v>31</v>
      </c>
      <c r="Q133" s="322"/>
      <c r="R133" s="327">
        <f t="shared" si="107"/>
        <v>8.8571428571428577</v>
      </c>
      <c r="S133" s="322"/>
      <c r="T133" s="319">
        <f t="shared" si="108"/>
        <v>372</v>
      </c>
      <c r="U133" s="317"/>
      <c r="V133" s="319">
        <f t="shared" si="109"/>
        <v>106.28571428571429</v>
      </c>
      <c r="W133" s="320"/>
      <c r="X133" s="337">
        <f t="shared" si="110"/>
        <v>3.9558343851652382E-5</v>
      </c>
      <c r="Y133" s="167"/>
      <c r="Z133" s="326">
        <f t="shared" si="98"/>
        <v>5.7316393994561909E-5</v>
      </c>
      <c r="AA133" s="635">
        <v>1</v>
      </c>
      <c r="AB133" s="638">
        <f t="shared" si="106"/>
        <v>106.28571428571429</v>
      </c>
      <c r="AC133" s="636">
        <f t="shared" si="111"/>
        <v>0</v>
      </c>
      <c r="AD133" s="292">
        <f t="shared" si="100"/>
        <v>0</v>
      </c>
      <c r="AE133" s="607" t="s">
        <v>99</v>
      </c>
      <c r="AF133" s="211"/>
    </row>
    <row r="134" spans="1:33" s="112" customFormat="1" ht="15" customHeight="1" x14ac:dyDescent="0.25">
      <c r="B134" s="796" t="s">
        <v>208</v>
      </c>
      <c r="C134" s="318"/>
      <c r="D134" s="193"/>
      <c r="E134" s="100"/>
      <c r="F134" s="321"/>
      <c r="G134" s="94"/>
      <c r="H134" s="193"/>
      <c r="I134" s="100"/>
      <c r="J134" s="321"/>
      <c r="K134" s="164"/>
      <c r="L134" s="193"/>
      <c r="M134" s="317"/>
      <c r="N134" s="323"/>
      <c r="O134" s="323"/>
      <c r="P134" s="321"/>
      <c r="Q134" s="322"/>
      <c r="R134" s="327">
        <f t="shared" si="107"/>
        <v>0</v>
      </c>
      <c r="S134" s="322"/>
      <c r="T134" s="319">
        <f t="shared" si="108"/>
        <v>0</v>
      </c>
      <c r="U134" s="317"/>
      <c r="V134" s="319">
        <f t="shared" si="109"/>
        <v>0</v>
      </c>
      <c r="W134" s="320"/>
      <c r="X134" s="337">
        <f t="shared" si="110"/>
        <v>0</v>
      </c>
      <c r="Y134" s="167"/>
      <c r="Z134" s="326">
        <f t="shared" si="98"/>
        <v>0</v>
      </c>
      <c r="AA134" s="635">
        <v>1</v>
      </c>
      <c r="AB134" s="638">
        <f t="shared" si="106"/>
        <v>0</v>
      </c>
      <c r="AC134" s="636" t="e">
        <f t="shared" si="111"/>
        <v>#DIV/0!</v>
      </c>
      <c r="AD134" s="292">
        <f t="shared" si="100"/>
        <v>0</v>
      </c>
      <c r="AE134" s="607" t="s">
        <v>99</v>
      </c>
      <c r="AF134" s="211"/>
    </row>
    <row r="135" spans="1:33" s="112" customFormat="1" ht="15" customHeight="1" x14ac:dyDescent="0.25">
      <c r="B135" s="306" t="s">
        <v>412</v>
      </c>
      <c r="C135" s="318"/>
      <c r="D135" s="193" t="s">
        <v>50</v>
      </c>
      <c r="E135" s="100"/>
      <c r="F135" s="321">
        <v>1</v>
      </c>
      <c r="G135" s="94"/>
      <c r="H135" s="193" t="s">
        <v>51</v>
      </c>
      <c r="I135" s="100"/>
      <c r="J135" s="321">
        <v>6</v>
      </c>
      <c r="K135" s="164"/>
      <c r="L135" s="193"/>
      <c r="M135" s="317"/>
      <c r="N135" s="323"/>
      <c r="O135" s="323"/>
      <c r="P135" s="321">
        <f>+'Staff Detail'!B37</f>
        <v>383.56164383561645</v>
      </c>
      <c r="Q135" s="322"/>
      <c r="R135" s="327">
        <f t="shared" si="94"/>
        <v>109.58904109589041</v>
      </c>
      <c r="S135" s="322"/>
      <c r="T135" s="319">
        <f t="shared" si="95"/>
        <v>2301.3698630136987</v>
      </c>
      <c r="U135" s="317"/>
      <c r="V135" s="319">
        <f t="shared" si="96"/>
        <v>657.53424657534254</v>
      </c>
      <c r="W135" s="320"/>
      <c r="X135" s="337">
        <f t="shared" si="97"/>
        <v>2.4472682895410226E-4</v>
      </c>
      <c r="Y135" s="167"/>
      <c r="Z135" s="326">
        <f t="shared" si="98"/>
        <v>3.5458661773038745E-4</v>
      </c>
      <c r="AA135" s="635">
        <v>1</v>
      </c>
      <c r="AB135" s="638">
        <f t="shared" si="106"/>
        <v>657.53424657534254</v>
      </c>
      <c r="AC135" s="636">
        <f t="shared" si="99"/>
        <v>0</v>
      </c>
      <c r="AD135" s="292">
        <f t="shared" si="100"/>
        <v>0</v>
      </c>
      <c r="AE135" s="607" t="s">
        <v>99</v>
      </c>
      <c r="AF135" s="211"/>
    </row>
    <row r="136" spans="1:33" s="112" customFormat="1" ht="15" customHeight="1" x14ac:dyDescent="0.25">
      <c r="B136" s="306" t="s">
        <v>418</v>
      </c>
      <c r="C136" s="318"/>
      <c r="D136" s="193" t="s">
        <v>50</v>
      </c>
      <c r="E136" s="100"/>
      <c r="F136" s="321">
        <v>2</v>
      </c>
      <c r="G136" s="94"/>
      <c r="H136" s="193" t="s">
        <v>51</v>
      </c>
      <c r="I136" s="100"/>
      <c r="J136" s="321">
        <v>6</v>
      </c>
      <c r="K136" s="164"/>
      <c r="L136" s="193"/>
      <c r="M136" s="317"/>
      <c r="N136" s="323"/>
      <c r="O136" s="323"/>
      <c r="P136" s="321">
        <f>+'Staff Detail'!B38</f>
        <v>383.56164383561645</v>
      </c>
      <c r="Q136" s="322"/>
      <c r="R136" s="327">
        <f t="shared" ref="R136:R138" si="112">P136/$V$6</f>
        <v>109.58904109589041</v>
      </c>
      <c r="S136" s="322"/>
      <c r="T136" s="319">
        <f t="shared" ref="T136:T138" si="113">IF(N136=0,IF(J136=0,F136*P136,F136*J136*P136),F136*J136*N136*P136)</f>
        <v>4602.7397260273974</v>
      </c>
      <c r="U136" s="317"/>
      <c r="V136" s="319">
        <f t="shared" ref="V136:V138" si="114">T136/$V$6</f>
        <v>1315.0684931506851</v>
      </c>
      <c r="W136" s="320"/>
      <c r="X136" s="337">
        <f t="shared" ref="X136:X138" si="115">V136/$V$3</f>
        <v>4.8945365790820452E-4</v>
      </c>
      <c r="Y136" s="167"/>
      <c r="Z136" s="326">
        <f t="shared" si="98"/>
        <v>7.0917323546077491E-4</v>
      </c>
      <c r="AA136" s="635">
        <v>1</v>
      </c>
      <c r="AB136" s="638">
        <f t="shared" si="106"/>
        <v>1315.0684931506851</v>
      </c>
      <c r="AC136" s="636">
        <f t="shared" ref="AC136:AC138" si="116">+AD136/V136</f>
        <v>0</v>
      </c>
      <c r="AD136" s="292">
        <f t="shared" si="100"/>
        <v>0</v>
      </c>
      <c r="AE136" s="607" t="s">
        <v>99</v>
      </c>
      <c r="AF136" s="211"/>
    </row>
    <row r="137" spans="1:33" s="112" customFormat="1" ht="15" customHeight="1" x14ac:dyDescent="0.25">
      <c r="B137" s="306" t="s">
        <v>440</v>
      </c>
      <c r="C137" s="318"/>
      <c r="D137" s="193" t="s">
        <v>50</v>
      </c>
      <c r="E137" s="100"/>
      <c r="F137" s="321">
        <v>1</v>
      </c>
      <c r="G137" s="94"/>
      <c r="H137" s="193" t="s">
        <v>51</v>
      </c>
      <c r="I137" s="100"/>
      <c r="J137" s="321">
        <v>6</v>
      </c>
      <c r="K137" s="164"/>
      <c r="L137" s="193"/>
      <c r="M137" s="317"/>
      <c r="N137" s="323"/>
      <c r="O137" s="323"/>
      <c r="P137" s="321">
        <f>'Staff Detail'!B14</f>
        <v>128.1</v>
      </c>
      <c r="Q137" s="322"/>
      <c r="R137" s="327">
        <f t="shared" si="112"/>
        <v>36.6</v>
      </c>
      <c r="S137" s="322"/>
      <c r="T137" s="319">
        <f t="shared" si="113"/>
        <v>768.59999999999991</v>
      </c>
      <c r="U137" s="317"/>
      <c r="V137" s="319">
        <f t="shared" si="114"/>
        <v>219.59999999999997</v>
      </c>
      <c r="W137" s="320"/>
      <c r="X137" s="337">
        <f t="shared" si="115"/>
        <v>8.1732642699946278E-5</v>
      </c>
      <c r="Y137" s="167"/>
      <c r="Z137" s="326">
        <f t="shared" si="98"/>
        <v>1.1842306565650611E-4</v>
      </c>
      <c r="AA137" s="635">
        <v>1</v>
      </c>
      <c r="AB137" s="638">
        <f t="shared" si="106"/>
        <v>219.59999999999997</v>
      </c>
      <c r="AC137" s="636">
        <f t="shared" si="116"/>
        <v>0</v>
      </c>
      <c r="AD137" s="292">
        <f t="shared" si="100"/>
        <v>0</v>
      </c>
      <c r="AE137" s="607" t="s">
        <v>99</v>
      </c>
      <c r="AF137" s="211"/>
    </row>
    <row r="138" spans="1:33" s="112" customFormat="1" ht="15" customHeight="1" x14ac:dyDescent="0.25">
      <c r="B138" s="306" t="s">
        <v>495</v>
      </c>
      <c r="C138" s="318"/>
      <c r="D138" s="193" t="s">
        <v>50</v>
      </c>
      <c r="E138" s="100"/>
      <c r="F138" s="321">
        <v>1</v>
      </c>
      <c r="G138" s="94"/>
      <c r="H138" s="193" t="s">
        <v>51</v>
      </c>
      <c r="I138" s="100"/>
      <c r="J138" s="321">
        <v>6</v>
      </c>
      <c r="K138" s="164"/>
      <c r="L138" s="193"/>
      <c r="M138" s="317"/>
      <c r="N138" s="323"/>
      <c r="O138" s="323"/>
      <c r="P138" s="321">
        <f>'Staff Detail'!B21</f>
        <v>119.56</v>
      </c>
      <c r="Q138" s="322"/>
      <c r="R138" s="327">
        <f t="shared" si="112"/>
        <v>34.160000000000004</v>
      </c>
      <c r="S138" s="322"/>
      <c r="T138" s="319">
        <f t="shared" si="113"/>
        <v>717.36</v>
      </c>
      <c r="U138" s="317"/>
      <c r="V138" s="319">
        <f t="shared" si="114"/>
        <v>204.96</v>
      </c>
      <c r="W138" s="320"/>
      <c r="X138" s="337">
        <f t="shared" si="115"/>
        <v>7.6283799853283204E-5</v>
      </c>
      <c r="Y138" s="167"/>
      <c r="Z138" s="326">
        <f t="shared" si="98"/>
        <v>1.1052819461273906E-4</v>
      </c>
      <c r="AA138" s="635">
        <v>1</v>
      </c>
      <c r="AB138" s="638">
        <f t="shared" si="106"/>
        <v>204.96</v>
      </c>
      <c r="AC138" s="636">
        <f t="shared" si="116"/>
        <v>0</v>
      </c>
      <c r="AD138" s="292">
        <f t="shared" si="100"/>
        <v>0</v>
      </c>
      <c r="AE138" s="607" t="s">
        <v>99</v>
      </c>
      <c r="AF138" s="211"/>
    </row>
    <row r="139" spans="1:33" s="112" customFormat="1" ht="15" customHeight="1" x14ac:dyDescent="0.25">
      <c r="B139" s="306" t="s">
        <v>105</v>
      </c>
      <c r="C139" s="318"/>
      <c r="D139" s="193" t="s">
        <v>50</v>
      </c>
      <c r="E139" s="100"/>
      <c r="F139" s="321">
        <v>2</v>
      </c>
      <c r="G139" s="94"/>
      <c r="H139" s="193" t="s">
        <v>51</v>
      </c>
      <c r="I139" s="100"/>
      <c r="J139" s="321">
        <v>6</v>
      </c>
      <c r="K139" s="164"/>
      <c r="L139" s="193"/>
      <c r="M139" s="317"/>
      <c r="N139" s="323"/>
      <c r="O139" s="323"/>
      <c r="P139" s="321">
        <f>+'Staff Detail'!B31</f>
        <v>31</v>
      </c>
      <c r="Q139" s="322"/>
      <c r="R139" s="327">
        <f t="shared" si="94"/>
        <v>8.8571428571428577</v>
      </c>
      <c r="S139" s="322"/>
      <c r="T139" s="319">
        <f t="shared" si="95"/>
        <v>372</v>
      </c>
      <c r="U139" s="317"/>
      <c r="V139" s="319">
        <f t="shared" si="96"/>
        <v>106.28571428571429</v>
      </c>
      <c r="W139" s="320"/>
      <c r="X139" s="337">
        <f t="shared" si="97"/>
        <v>3.9558343851652382E-5</v>
      </c>
      <c r="Y139" s="167"/>
      <c r="Z139" s="326">
        <f t="shared" si="98"/>
        <v>5.7316393994561909E-5</v>
      </c>
      <c r="AA139" s="635">
        <v>1</v>
      </c>
      <c r="AB139" s="638">
        <f t="shared" si="106"/>
        <v>106.28571428571429</v>
      </c>
      <c r="AC139" s="636">
        <f t="shared" si="99"/>
        <v>0</v>
      </c>
      <c r="AD139" s="292">
        <f t="shared" si="100"/>
        <v>0</v>
      </c>
      <c r="AE139" s="607" t="s">
        <v>99</v>
      </c>
      <c r="AF139" s="211"/>
    </row>
    <row r="140" spans="1:33" s="112" customFormat="1" ht="15" customHeight="1" x14ac:dyDescent="0.25">
      <c r="A140" s="455"/>
      <c r="B140" s="126" t="s">
        <v>240</v>
      </c>
      <c r="C140" s="801"/>
      <c r="D140" s="802" t="s">
        <v>50</v>
      </c>
      <c r="E140" s="803"/>
      <c r="F140" s="804">
        <v>3</v>
      </c>
      <c r="G140" s="805"/>
      <c r="H140" s="802" t="s">
        <v>51</v>
      </c>
      <c r="I140" s="803"/>
      <c r="J140" s="806">
        <v>0.33</v>
      </c>
      <c r="K140" s="807"/>
      <c r="L140" s="802"/>
      <c r="M140" s="805"/>
      <c r="N140" s="808"/>
      <c r="O140" s="808"/>
      <c r="P140" s="809">
        <f>+'Staff Detail'!B16</f>
        <v>89.67</v>
      </c>
      <c r="Q140" s="807"/>
      <c r="R140" s="810">
        <v>25.6</v>
      </c>
      <c r="S140" s="807"/>
      <c r="T140" s="811">
        <v>89</v>
      </c>
      <c r="U140" s="805"/>
      <c r="V140" s="811">
        <v>25</v>
      </c>
      <c r="W140" s="811"/>
      <c r="X140" s="812">
        <v>0</v>
      </c>
      <c r="Y140" s="813"/>
      <c r="Z140" s="814">
        <v>0</v>
      </c>
      <c r="AA140" s="815">
        <v>1</v>
      </c>
      <c r="AB140" s="638">
        <f t="shared" si="106"/>
        <v>25</v>
      </c>
      <c r="AC140" s="817">
        <v>0</v>
      </c>
      <c r="AD140" s="818">
        <v>0</v>
      </c>
      <c r="AE140" s="819" t="s">
        <v>99</v>
      </c>
      <c r="AF140" s="820"/>
      <c r="AG140" s="455"/>
    </row>
    <row r="141" spans="1:33" s="112" customFormat="1" ht="15" customHeight="1" x14ac:dyDescent="0.25">
      <c r="B141" s="178" t="s">
        <v>447</v>
      </c>
      <c r="C141" s="318"/>
      <c r="D141" s="193" t="s">
        <v>50</v>
      </c>
      <c r="E141" s="317"/>
      <c r="F141" s="321">
        <f>+SUM(F126:F139)</f>
        <v>15</v>
      </c>
      <c r="G141" s="317"/>
      <c r="H141" s="193" t="s">
        <v>51</v>
      </c>
      <c r="I141" s="100"/>
      <c r="J141" s="321">
        <v>6</v>
      </c>
      <c r="K141" s="322"/>
      <c r="L141" s="193"/>
      <c r="M141" s="323"/>
      <c r="N141" s="323"/>
      <c r="O141" s="323"/>
      <c r="P141" s="321">
        <f>+'Staff Detail'!B51</f>
        <v>350</v>
      </c>
      <c r="Q141" s="322"/>
      <c r="R141" s="327">
        <f t="shared" si="94"/>
        <v>100</v>
      </c>
      <c r="S141" s="322"/>
      <c r="T141" s="319">
        <f t="shared" si="95"/>
        <v>31500</v>
      </c>
      <c r="U141" s="317"/>
      <c r="V141" s="319">
        <f t="shared" si="96"/>
        <v>9000</v>
      </c>
      <c r="W141" s="320"/>
      <c r="X141" s="337">
        <f t="shared" si="97"/>
        <v>3.3496984713092745E-3</v>
      </c>
      <c r="Y141" s="167"/>
      <c r="Z141" s="326">
        <f>V141/$V$601</f>
        <v>4.8534043301846777E-3</v>
      </c>
      <c r="AA141" s="635">
        <v>1</v>
      </c>
      <c r="AB141" s="638">
        <f t="shared" si="106"/>
        <v>9000</v>
      </c>
      <c r="AC141" s="636">
        <f t="shared" si="99"/>
        <v>0</v>
      </c>
      <c r="AD141" s="292">
        <f>+V141-AB141</f>
        <v>0</v>
      </c>
      <c r="AE141" s="607" t="s">
        <v>102</v>
      </c>
      <c r="AF141" s="211"/>
    </row>
    <row r="142" spans="1:33" s="112" customFormat="1" ht="15" customHeight="1" x14ac:dyDescent="0.25">
      <c r="B142" s="178" t="s">
        <v>17</v>
      </c>
      <c r="C142" s="318"/>
      <c r="D142" s="193" t="s">
        <v>98</v>
      </c>
      <c r="E142" s="317"/>
      <c r="F142" s="321">
        <v>4</v>
      </c>
      <c r="G142" s="317"/>
      <c r="H142" s="193" t="s">
        <v>54</v>
      </c>
      <c r="I142" s="100"/>
      <c r="J142" s="321">
        <v>45</v>
      </c>
      <c r="K142" s="164"/>
      <c r="L142" s="193" t="s">
        <v>51</v>
      </c>
      <c r="M142" s="163"/>
      <c r="N142" s="321">
        <v>6</v>
      </c>
      <c r="O142" s="165"/>
      <c r="P142" s="321">
        <v>3.3</v>
      </c>
      <c r="Q142" s="322"/>
      <c r="R142" s="327">
        <f t="shared" si="94"/>
        <v>0.94285714285714284</v>
      </c>
      <c r="S142" s="322"/>
      <c r="T142" s="319">
        <f t="shared" si="95"/>
        <v>3564</v>
      </c>
      <c r="U142" s="317"/>
      <c r="V142" s="319">
        <f t="shared" si="96"/>
        <v>1018.2857142857143</v>
      </c>
      <c r="W142" s="320"/>
      <c r="X142" s="337">
        <f t="shared" si="97"/>
        <v>3.789944556109922E-4</v>
      </c>
      <c r="Y142" s="167"/>
      <c r="Z142" s="326">
        <f>V142/$V$601</f>
        <v>5.4912803278660922E-4</v>
      </c>
      <c r="AA142" s="635">
        <v>1</v>
      </c>
      <c r="AB142" s="638">
        <f t="shared" si="106"/>
        <v>1018.2857142857143</v>
      </c>
      <c r="AC142" s="636">
        <f t="shared" si="99"/>
        <v>0</v>
      </c>
      <c r="AD142" s="292">
        <f>+V142-AB142</f>
        <v>0</v>
      </c>
      <c r="AE142" s="611" t="s">
        <v>55</v>
      </c>
      <c r="AF142" s="211"/>
    </row>
    <row r="143" spans="1:33" s="112" customFormat="1" ht="15" customHeight="1" thickBot="1" x14ac:dyDescent="0.3">
      <c r="A143" s="112" t="s">
        <v>449</v>
      </c>
      <c r="B143" s="176" t="s">
        <v>96</v>
      </c>
      <c r="C143" s="318"/>
      <c r="D143" s="324"/>
      <c r="E143" s="317"/>
      <c r="F143" s="322"/>
      <c r="G143" s="317"/>
      <c r="H143" s="324"/>
      <c r="I143" s="317"/>
      <c r="J143" s="162"/>
      <c r="K143" s="322"/>
      <c r="L143" s="323"/>
      <c r="M143" s="323"/>
      <c r="N143" s="166"/>
      <c r="O143" s="323"/>
      <c r="P143" s="322"/>
      <c r="Q143" s="322"/>
      <c r="R143" s="322"/>
      <c r="S143" s="322"/>
      <c r="T143" s="133">
        <f>SUM(T126:T142)</f>
        <v>50147.633863013703</v>
      </c>
      <c r="U143" s="318"/>
      <c r="V143" s="133">
        <f>SUM(V126:V142)</f>
        <v>14327.466818003913</v>
      </c>
      <c r="W143" s="134"/>
      <c r="X143" s="672">
        <f>SUM(X126:X142)</f>
        <v>5.3232168040243701E-3</v>
      </c>
      <c r="Y143" s="240"/>
      <c r="Z143" s="286">
        <f>V143/$V$601</f>
        <v>7.7263321661197194E-3</v>
      </c>
      <c r="AA143" s="668"/>
      <c r="AB143" s="133">
        <f>SUM(AB126:AB142)</f>
        <v>14327.466818003913</v>
      </c>
      <c r="AC143" s="637"/>
      <c r="AD143" s="133">
        <f>SUM(AD126:AD142)</f>
        <v>0</v>
      </c>
      <c r="AE143" s="607"/>
      <c r="AF143" s="211"/>
    </row>
    <row r="144" spans="1:33" s="112" customFormat="1" ht="15" customHeight="1" x14ac:dyDescent="0.25">
      <c r="B144" s="177"/>
      <c r="C144" s="318"/>
      <c r="D144" s="324"/>
      <c r="E144" s="100"/>
      <c r="F144" s="322"/>
      <c r="G144" s="94"/>
      <c r="H144" s="324"/>
      <c r="I144" s="100"/>
      <c r="J144" s="162"/>
      <c r="K144" s="164"/>
      <c r="L144" s="323"/>
      <c r="M144" s="323"/>
      <c r="N144" s="166"/>
      <c r="O144" s="323"/>
      <c r="P144" s="322"/>
      <c r="Q144" s="322"/>
      <c r="R144" s="322"/>
      <c r="S144" s="322"/>
      <c r="T144" s="302"/>
      <c r="U144" s="318"/>
      <c r="V144" s="302"/>
      <c r="W144" s="134"/>
      <c r="X144" s="344"/>
      <c r="Y144" s="240"/>
      <c r="Z144" s="290"/>
      <c r="AA144" s="677"/>
      <c r="AB144" s="675"/>
      <c r="AC144" s="676"/>
      <c r="AD144" s="132"/>
      <c r="AE144" s="607"/>
      <c r="AF144" s="211"/>
    </row>
    <row r="145" spans="1:32" s="112" customFormat="1" ht="15" customHeight="1" x14ac:dyDescent="0.25">
      <c r="B145" s="177"/>
      <c r="C145" s="318"/>
      <c r="D145" s="324"/>
      <c r="E145" s="100"/>
      <c r="F145" s="322"/>
      <c r="G145" s="94"/>
      <c r="H145" s="324"/>
      <c r="I145" s="100"/>
      <c r="J145" s="162"/>
      <c r="K145" s="164"/>
      <c r="L145" s="323"/>
      <c r="M145" s="323"/>
      <c r="N145" s="166"/>
      <c r="O145" s="323"/>
      <c r="P145" s="322"/>
      <c r="Q145" s="322"/>
      <c r="R145" s="322"/>
      <c r="S145" s="322"/>
      <c r="T145" s="302"/>
      <c r="U145" s="318"/>
      <c r="V145" s="302"/>
      <c r="W145" s="134"/>
      <c r="X145" s="344"/>
      <c r="Y145" s="240"/>
      <c r="Z145" s="290"/>
      <c r="AA145" s="94"/>
      <c r="AB145" s="673"/>
      <c r="AC145" s="94"/>
      <c r="AD145" s="674"/>
      <c r="AE145" s="607"/>
      <c r="AF145" s="211"/>
    </row>
    <row r="146" spans="1:32" s="112" customFormat="1" ht="15" customHeight="1" thickBot="1" x14ac:dyDescent="0.3">
      <c r="B146" s="176" t="s">
        <v>274</v>
      </c>
      <c r="C146" s="318"/>
      <c r="D146" s="324"/>
      <c r="E146" s="100"/>
      <c r="F146" s="322"/>
      <c r="G146" s="94"/>
      <c r="H146" s="324"/>
      <c r="I146" s="100"/>
      <c r="J146" s="162"/>
      <c r="K146" s="164"/>
      <c r="L146" s="323"/>
      <c r="M146" s="323"/>
      <c r="N146" s="166"/>
      <c r="O146" s="323"/>
      <c r="P146" s="322"/>
      <c r="Q146" s="322"/>
      <c r="R146" s="322"/>
      <c r="S146" s="322"/>
      <c r="T146" s="133">
        <f>+T109+T101+T89+T69+T45+T32+T122+T143+T62</f>
        <v>217311.89644520546</v>
      </c>
      <c r="U146" s="318"/>
      <c r="V146" s="133">
        <f>+V109+V101+V89+V69+V45+V32+V122+V143+V62</f>
        <v>62086.256127201566</v>
      </c>
      <c r="W146" s="134"/>
      <c r="X146" s="672">
        <f>+X109+X101+X89+X69+X45+X32+X122+X143+X62</f>
        <v>3.4117758312895305E-2</v>
      </c>
      <c r="Y146" s="240"/>
      <c r="Z146" s="290"/>
      <c r="AA146" s="94"/>
      <c r="AB146" s="133">
        <f>+AB109+AB101+AB89+AB69+AB45+AB32+AB122+AB143+AB62</f>
        <v>33656.504120352249</v>
      </c>
      <c r="AC146" s="94"/>
      <c r="AD146" s="133">
        <f>+AD109+AD101+AD89+AD69+AD45+AD32+AD122+AD143+AD62</f>
        <v>28429.752006849318</v>
      </c>
      <c r="AE146" s="607"/>
      <c r="AF146" s="211"/>
    </row>
    <row r="147" spans="1:32" s="112" customFormat="1" ht="15" customHeight="1" x14ac:dyDescent="0.25">
      <c r="B147" s="177"/>
      <c r="C147" s="318"/>
      <c r="D147" s="324"/>
      <c r="E147" s="100"/>
      <c r="F147" s="322"/>
      <c r="G147" s="94"/>
      <c r="H147" s="324"/>
      <c r="I147" s="100"/>
      <c r="J147" s="162"/>
      <c r="K147" s="164"/>
      <c r="L147" s="323"/>
      <c r="M147" s="323"/>
      <c r="N147" s="166"/>
      <c r="O147" s="323"/>
      <c r="P147" s="322"/>
      <c r="Q147" s="322"/>
      <c r="R147" s="322"/>
      <c r="S147" s="322"/>
      <c r="T147" s="302"/>
      <c r="U147" s="318"/>
      <c r="V147" s="302"/>
      <c r="W147" s="134"/>
      <c r="X147" s="344"/>
      <c r="Y147" s="240"/>
      <c r="Z147" s="290"/>
      <c r="AA147" s="94"/>
      <c r="AB147" s="648"/>
      <c r="AC147" s="94"/>
      <c r="AD147" s="94"/>
      <c r="AE147" s="607"/>
      <c r="AF147" s="211"/>
    </row>
    <row r="148" spans="1:32" s="112" customFormat="1" ht="15" hidden="1" customHeight="1" x14ac:dyDescent="0.25">
      <c r="B148" s="177" t="s">
        <v>278</v>
      </c>
      <c r="C148" s="318"/>
      <c r="D148" s="324"/>
      <c r="E148" s="100"/>
      <c r="F148" s="322"/>
      <c r="G148" s="94"/>
      <c r="H148" s="324"/>
      <c r="I148" s="100"/>
      <c r="J148" s="162"/>
      <c r="K148" s="164"/>
      <c r="L148" s="323"/>
      <c r="M148" s="323"/>
      <c r="N148" s="166"/>
      <c r="O148" s="323"/>
      <c r="P148" s="322"/>
      <c r="Q148" s="322"/>
      <c r="R148" s="322"/>
      <c r="S148" s="322"/>
      <c r="T148" s="302"/>
      <c r="U148" s="318"/>
      <c r="V148" s="302"/>
      <c r="W148" s="134"/>
      <c r="X148" s="344"/>
      <c r="Y148" s="240"/>
      <c r="Z148" s="290"/>
      <c r="AA148" s="94"/>
      <c r="AB148" s="648"/>
      <c r="AC148" s="94"/>
      <c r="AD148" s="94"/>
      <c r="AE148" s="607"/>
      <c r="AF148" s="211"/>
    </row>
    <row r="149" spans="1:32" s="112" customFormat="1" ht="15" hidden="1" customHeight="1" x14ac:dyDescent="0.25">
      <c r="B149" s="177" t="s">
        <v>162</v>
      </c>
      <c r="C149" s="318"/>
      <c r="D149" s="324"/>
      <c r="E149" s="100"/>
      <c r="F149" s="322"/>
      <c r="G149" s="94"/>
      <c r="H149" s="324"/>
      <c r="I149" s="100"/>
      <c r="J149" s="162"/>
      <c r="K149" s="164"/>
      <c r="L149" s="323"/>
      <c r="M149" s="323"/>
      <c r="N149" s="166"/>
      <c r="O149" s="323"/>
      <c r="P149" s="322"/>
      <c r="Q149" s="322"/>
      <c r="R149" s="322"/>
      <c r="S149" s="322"/>
      <c r="T149" s="302"/>
      <c r="U149" s="318"/>
      <c r="V149" s="302"/>
      <c r="W149" s="134"/>
      <c r="X149" s="344"/>
      <c r="Y149" s="240"/>
      <c r="Z149" s="290"/>
      <c r="AA149" s="94"/>
      <c r="AB149" s="648"/>
      <c r="AC149" s="94"/>
      <c r="AD149" s="94"/>
      <c r="AE149" s="607"/>
      <c r="AF149" s="211"/>
    </row>
    <row r="150" spans="1:32" s="112" customFormat="1" ht="15" hidden="1" customHeight="1" x14ac:dyDescent="0.25">
      <c r="B150" s="470" t="s">
        <v>250</v>
      </c>
      <c r="C150" s="318"/>
      <c r="D150" s="324"/>
      <c r="E150" s="100"/>
      <c r="F150" s="322"/>
      <c r="G150" s="94"/>
      <c r="H150" s="324"/>
      <c r="I150" s="100"/>
      <c r="J150" s="162"/>
      <c r="K150" s="164"/>
      <c r="L150" s="323"/>
      <c r="M150" s="323"/>
      <c r="N150" s="166"/>
      <c r="O150" s="323"/>
      <c r="P150" s="322"/>
      <c r="Q150" s="322"/>
      <c r="R150" s="322"/>
      <c r="S150" s="322"/>
      <c r="T150" s="134"/>
      <c r="U150" s="318"/>
      <c r="V150" s="134"/>
      <c r="W150" s="134"/>
      <c r="X150" s="355"/>
      <c r="Y150" s="469"/>
      <c r="Z150" s="290"/>
      <c r="AA150" s="94"/>
      <c r="AB150" s="648"/>
      <c r="AC150" s="94"/>
      <c r="AD150" s="94"/>
      <c r="AE150" s="607"/>
      <c r="AF150" s="211"/>
    </row>
    <row r="151" spans="1:32" s="112" customFormat="1" ht="15" hidden="1" customHeight="1" x14ac:dyDescent="0.25">
      <c r="B151" s="178" t="s">
        <v>249</v>
      </c>
      <c r="C151" s="318"/>
      <c r="D151" s="193" t="s">
        <v>50</v>
      </c>
      <c r="E151" s="100"/>
      <c r="F151" s="606">
        <v>0</v>
      </c>
      <c r="G151" s="94"/>
      <c r="H151" s="193" t="s">
        <v>51</v>
      </c>
      <c r="I151" s="100"/>
      <c r="J151" s="321">
        <v>2</v>
      </c>
      <c r="K151" s="164"/>
      <c r="L151" s="193" t="s">
        <v>269</v>
      </c>
      <c r="M151" s="163"/>
      <c r="N151" s="321">
        <v>3</v>
      </c>
      <c r="O151" s="323"/>
      <c r="P151" s="732">
        <v>250</v>
      </c>
      <c r="Q151" s="322"/>
      <c r="R151" s="327">
        <f t="shared" ref="R151:R153" si="117">P151/$V$6</f>
        <v>71.428571428571431</v>
      </c>
      <c r="S151" s="322"/>
      <c r="T151" s="319">
        <f t="shared" ref="T151" si="118">IF(N151=0,IF(J151=0,F151*P151,F151*J151*P151),F151*J151*N151*P151)</f>
        <v>0</v>
      </c>
      <c r="U151" s="317"/>
      <c r="V151" s="319">
        <f t="shared" ref="V151:V153" si="119">T151/$V$6</f>
        <v>0</v>
      </c>
      <c r="W151" s="320"/>
      <c r="X151" s="337">
        <f t="shared" ref="X151:X153" si="120">V151/$V$3</f>
        <v>0</v>
      </c>
      <c r="Y151" s="167"/>
      <c r="Z151" s="326">
        <f>V151/$V$601</f>
        <v>0</v>
      </c>
      <c r="AA151" s="635">
        <v>0.25</v>
      </c>
      <c r="AB151" s="638">
        <f>+W151+V151*AA151</f>
        <v>0</v>
      </c>
      <c r="AC151" s="636" t="e">
        <f t="shared" ref="AC151:AC166" si="121">+AD151/V151</f>
        <v>#DIV/0!</v>
      </c>
      <c r="AD151" s="292">
        <f>+V151-AB151</f>
        <v>0</v>
      </c>
      <c r="AE151" s="607" t="s">
        <v>99</v>
      </c>
      <c r="AF151" s="211"/>
    </row>
    <row r="152" spans="1:32" s="112" customFormat="1" ht="15" hidden="1" customHeight="1" x14ac:dyDescent="0.25">
      <c r="B152" s="306" t="s">
        <v>283</v>
      </c>
      <c r="C152" s="318"/>
      <c r="D152" s="193" t="s">
        <v>50</v>
      </c>
      <c r="E152" s="100"/>
      <c r="F152" s="606">
        <v>0</v>
      </c>
      <c r="G152" s="94"/>
      <c r="H152" s="193" t="s">
        <v>51</v>
      </c>
      <c r="I152" s="100"/>
      <c r="J152" s="321">
        <v>1</v>
      </c>
      <c r="K152" s="164"/>
      <c r="L152" s="193"/>
      <c r="M152" s="317"/>
      <c r="N152" s="323"/>
      <c r="O152" s="323"/>
      <c r="P152" s="321">
        <v>0</v>
      </c>
      <c r="Q152" s="322"/>
      <c r="R152" s="327">
        <f t="shared" si="117"/>
        <v>0</v>
      </c>
      <c r="S152" s="322"/>
      <c r="T152" s="319">
        <f t="shared" ref="T152:T153" si="122">IF(N152=0,IF(J152=0,F152*P152,F152*J152*P152),F152*J152*N152*P152)</f>
        <v>0</v>
      </c>
      <c r="U152" s="317"/>
      <c r="V152" s="319">
        <f t="shared" si="119"/>
        <v>0</v>
      </c>
      <c r="W152" s="320"/>
      <c r="X152" s="337">
        <f t="shared" si="120"/>
        <v>0</v>
      </c>
      <c r="Y152" s="167"/>
      <c r="Z152" s="326">
        <f>V152/$V$601</f>
        <v>0</v>
      </c>
      <c r="AA152" s="635">
        <v>1</v>
      </c>
      <c r="AB152" s="638">
        <f>+W152+V152*AA152</f>
        <v>0</v>
      </c>
      <c r="AC152" s="636" t="e">
        <f t="shared" si="121"/>
        <v>#DIV/0!</v>
      </c>
      <c r="AD152" s="292">
        <f>+V152-AB152</f>
        <v>0</v>
      </c>
      <c r="AE152" s="607" t="s">
        <v>99</v>
      </c>
      <c r="AF152" s="211"/>
    </row>
    <row r="153" spans="1:32" s="112" customFormat="1" ht="15" hidden="1" customHeight="1" x14ac:dyDescent="0.25">
      <c r="B153" s="178" t="s">
        <v>140</v>
      </c>
      <c r="C153" s="318"/>
      <c r="D153" s="193" t="s">
        <v>50</v>
      </c>
      <c r="E153" s="100"/>
      <c r="F153" s="606">
        <v>0</v>
      </c>
      <c r="G153" s="94"/>
      <c r="H153" s="193" t="s">
        <v>51</v>
      </c>
      <c r="I153" s="100"/>
      <c r="J153" s="321">
        <v>1</v>
      </c>
      <c r="K153" s="164"/>
      <c r="L153" s="193"/>
      <c r="M153" s="317"/>
      <c r="N153" s="323"/>
      <c r="O153" s="323"/>
      <c r="P153" s="321">
        <v>0</v>
      </c>
      <c r="Q153" s="322"/>
      <c r="R153" s="327">
        <f t="shared" si="117"/>
        <v>0</v>
      </c>
      <c r="S153" s="322"/>
      <c r="T153" s="319">
        <f t="shared" si="122"/>
        <v>0</v>
      </c>
      <c r="U153" s="317"/>
      <c r="V153" s="319">
        <f t="shared" si="119"/>
        <v>0</v>
      </c>
      <c r="W153" s="320"/>
      <c r="X153" s="337">
        <f t="shared" si="120"/>
        <v>0</v>
      </c>
      <c r="Y153" s="167"/>
      <c r="Z153" s="326">
        <f>V153/$V$601</f>
        <v>0</v>
      </c>
      <c r="AA153" s="635">
        <v>1</v>
      </c>
      <c r="AB153" s="638">
        <f>+W153+V153*AA153</f>
        <v>0</v>
      </c>
      <c r="AC153" s="636" t="e">
        <f t="shared" si="121"/>
        <v>#DIV/0!</v>
      </c>
      <c r="AD153" s="292">
        <f>+V153-AB153</f>
        <v>0</v>
      </c>
      <c r="AE153" s="607" t="s">
        <v>99</v>
      </c>
      <c r="AF153" s="211"/>
    </row>
    <row r="154" spans="1:32" s="491" customFormat="1" ht="30.95" hidden="1" customHeight="1" x14ac:dyDescent="0.25">
      <c r="B154" s="178" t="s">
        <v>163</v>
      </c>
      <c r="C154" s="478"/>
      <c r="D154" s="479" t="s">
        <v>50</v>
      </c>
      <c r="E154" s="482"/>
      <c r="F154" s="606">
        <v>0</v>
      </c>
      <c r="G154" s="659"/>
      <c r="H154" s="479" t="s">
        <v>51</v>
      </c>
      <c r="I154" s="482"/>
      <c r="J154" s="481">
        <v>1</v>
      </c>
      <c r="K154" s="541"/>
      <c r="L154" s="479" t="s">
        <v>396</v>
      </c>
      <c r="M154" s="480"/>
      <c r="N154" s="478"/>
      <c r="O154" s="478"/>
      <c r="P154" s="481">
        <v>100</v>
      </c>
      <c r="Q154" s="483"/>
      <c r="R154" s="484">
        <f t="shared" ref="R154:R166" si="123">P154/$V$6</f>
        <v>28.571428571428573</v>
      </c>
      <c r="S154" s="483"/>
      <c r="T154" s="485">
        <f t="shared" ref="T154:T166" si="124">IF(N154=0,IF(J154=0,F154*P154,F154*J154*P154),F154*J154*N154*P154)</f>
        <v>0</v>
      </c>
      <c r="U154" s="480"/>
      <c r="V154" s="485">
        <f t="shared" ref="V154:V166" si="125">T154/$V$6</f>
        <v>0</v>
      </c>
      <c r="W154" s="486"/>
      <c r="X154" s="487">
        <f t="shared" ref="X154:X166" si="126">V154/$V$3</f>
        <v>0</v>
      </c>
      <c r="Y154" s="488"/>
      <c r="Z154" s="489">
        <f>V154/$V$601</f>
        <v>0</v>
      </c>
      <c r="AA154" s="660">
        <v>0.3</v>
      </c>
      <c r="AB154" s="661">
        <f>+W154+V154*AA154</f>
        <v>0</v>
      </c>
      <c r="AC154" s="662" t="e">
        <f t="shared" si="121"/>
        <v>#DIV/0!</v>
      </c>
      <c r="AD154" s="483">
        <f>+V154-AB154</f>
        <v>0</v>
      </c>
      <c r="AE154" s="480" t="s">
        <v>99</v>
      </c>
      <c r="AF154" s="490"/>
    </row>
    <row r="155" spans="1:32" s="112" customFormat="1" ht="30.95" hidden="1" customHeight="1" x14ac:dyDescent="0.25">
      <c r="B155" s="178" t="s">
        <v>401</v>
      </c>
      <c r="C155" s="318"/>
      <c r="D155" s="193" t="s">
        <v>397</v>
      </c>
      <c r="E155" s="100"/>
      <c r="F155" s="606">
        <v>0</v>
      </c>
      <c r="G155" s="94"/>
      <c r="H155" s="193" t="s">
        <v>51</v>
      </c>
      <c r="I155" s="100"/>
      <c r="J155" s="321">
        <v>1</v>
      </c>
      <c r="K155" s="164"/>
      <c r="L155" s="193"/>
      <c r="M155" s="317"/>
      <c r="N155" s="323"/>
      <c r="O155" s="323"/>
      <c r="P155" s="732">
        <v>300</v>
      </c>
      <c r="Q155" s="322"/>
      <c r="R155" s="327">
        <f t="shared" si="123"/>
        <v>85.714285714285708</v>
      </c>
      <c r="S155" s="322"/>
      <c r="T155" s="319">
        <f t="shared" si="124"/>
        <v>0</v>
      </c>
      <c r="U155" s="317"/>
      <c r="V155" s="319"/>
      <c r="W155" s="320"/>
      <c r="X155" s="337"/>
      <c r="Y155" s="167"/>
      <c r="Z155" s="326"/>
      <c r="AA155" s="635"/>
      <c r="AB155" s="638"/>
      <c r="AC155" s="636"/>
      <c r="AD155" s="292"/>
      <c r="AE155" s="607"/>
      <c r="AF155" s="211"/>
    </row>
    <row r="156" spans="1:32" s="112" customFormat="1" ht="15" hidden="1" customHeight="1" x14ac:dyDescent="0.25">
      <c r="B156" s="178" t="s">
        <v>262</v>
      </c>
      <c r="C156" s="318"/>
      <c r="D156" s="193" t="s">
        <v>50</v>
      </c>
      <c r="E156" s="317"/>
      <c r="F156" s="606">
        <v>0</v>
      </c>
      <c r="G156" s="317"/>
      <c r="H156" s="193" t="s">
        <v>261</v>
      </c>
      <c r="I156" s="100"/>
      <c r="J156" s="321">
        <v>1</v>
      </c>
      <c r="K156" s="322"/>
      <c r="L156" s="193" t="s">
        <v>263</v>
      </c>
      <c r="M156" s="323"/>
      <c r="N156" s="669"/>
      <c r="O156" s="323"/>
      <c r="P156" s="321">
        <v>750</v>
      </c>
      <c r="Q156" s="322"/>
      <c r="R156" s="327">
        <f>P156/$V$6</f>
        <v>214.28571428571428</v>
      </c>
      <c r="S156" s="322"/>
      <c r="T156" s="319">
        <f>IF(N156=0,IF(J156=0,F156*P156,F156*J156*P156),F156*J156*N156*P156)</f>
        <v>0</v>
      </c>
      <c r="U156" s="317"/>
      <c r="V156" s="319">
        <f t="shared" si="125"/>
        <v>0</v>
      </c>
      <c r="W156" s="320"/>
      <c r="X156" s="337">
        <f>V156/$V$3</f>
        <v>0</v>
      </c>
      <c r="Y156" s="167"/>
      <c r="Z156" s="326">
        <f>V156/$V$601</f>
        <v>0</v>
      </c>
      <c r="AA156" s="635">
        <v>0.25</v>
      </c>
      <c r="AB156" s="638">
        <f>+W156+V156*AA156</f>
        <v>0</v>
      </c>
      <c r="AC156" s="636" t="e">
        <f>+AD156/V156</f>
        <v>#DIV/0!</v>
      </c>
      <c r="AD156" s="292">
        <f>+V156-AB156</f>
        <v>0</v>
      </c>
      <c r="AE156" s="607" t="s">
        <v>102</v>
      </c>
      <c r="AF156" s="211"/>
    </row>
    <row r="157" spans="1:32" s="112" customFormat="1" ht="15" hidden="1" customHeight="1" x14ac:dyDescent="0.25">
      <c r="B157" s="178" t="s">
        <v>17</v>
      </c>
      <c r="C157" s="318"/>
      <c r="D157" s="193" t="s">
        <v>98</v>
      </c>
      <c r="E157" s="317"/>
      <c r="F157" s="321">
        <v>0</v>
      </c>
      <c r="G157" s="317"/>
      <c r="H157" s="193" t="s">
        <v>54</v>
      </c>
      <c r="I157" s="100"/>
      <c r="J157" s="321">
        <v>33</v>
      </c>
      <c r="K157" s="164"/>
      <c r="L157" s="193" t="s">
        <v>51</v>
      </c>
      <c r="M157" s="163"/>
      <c r="N157" s="321">
        <v>3</v>
      </c>
      <c r="O157" s="165"/>
      <c r="P157" s="321">
        <v>3.3</v>
      </c>
      <c r="Q157" s="322"/>
      <c r="R157" s="327">
        <f>P157/$V$6</f>
        <v>0.94285714285714284</v>
      </c>
      <c r="S157" s="322"/>
      <c r="T157" s="319">
        <f t="shared" ref="T157" si="127">IF(N157=0,IF(J157=0,F157*P157,F157*J157*P157),F157*J157*N157*P157)</f>
        <v>0</v>
      </c>
      <c r="U157" s="317"/>
      <c r="V157" s="319">
        <f t="shared" si="125"/>
        <v>0</v>
      </c>
      <c r="W157" s="320"/>
      <c r="X157" s="337">
        <f>V157/$V$3</f>
        <v>0</v>
      </c>
      <c r="Y157" s="167"/>
      <c r="Z157" s="326">
        <f>V157/$V$601</f>
        <v>0</v>
      </c>
      <c r="AA157" s="635">
        <v>1</v>
      </c>
      <c r="AB157" s="638">
        <f>+W157+V157*AA157</f>
        <v>0</v>
      </c>
      <c r="AC157" s="636" t="e">
        <f>+AD157/V157</f>
        <v>#DIV/0!</v>
      </c>
      <c r="AD157" s="292">
        <f>+V157-AB157</f>
        <v>0</v>
      </c>
      <c r="AE157" s="611" t="s">
        <v>55</v>
      </c>
      <c r="AF157" s="211"/>
    </row>
    <row r="158" spans="1:32" s="112" customFormat="1" ht="15" hidden="1" customHeight="1" thickBot="1" x14ac:dyDescent="0.3">
      <c r="A158" s="112" t="s">
        <v>286</v>
      </c>
      <c r="B158" s="176" t="s">
        <v>96</v>
      </c>
      <c r="C158" s="318"/>
      <c r="D158" s="324"/>
      <c r="E158" s="317"/>
      <c r="F158" s="322"/>
      <c r="G158" s="317"/>
      <c r="H158" s="324"/>
      <c r="I158" s="317"/>
      <c r="J158" s="162"/>
      <c r="K158" s="322"/>
      <c r="L158" s="323"/>
      <c r="M158" s="323"/>
      <c r="N158" s="166"/>
      <c r="O158" s="323"/>
      <c r="P158" s="322"/>
      <c r="Q158" s="322"/>
      <c r="R158" s="322"/>
      <c r="S158" s="322"/>
      <c r="T158" s="133">
        <f>SUM(T151:T157)</f>
        <v>0</v>
      </c>
      <c r="U158" s="318"/>
      <c r="V158" s="133">
        <f>SUM(V151:V157)</f>
        <v>0</v>
      </c>
      <c r="W158" s="134"/>
      <c r="X158" s="338">
        <f>SUM(X151:X157)</f>
        <v>0</v>
      </c>
      <c r="Y158" s="240"/>
      <c r="Z158" s="286">
        <f>V158/$V$601</f>
        <v>0</v>
      </c>
      <c r="AA158" s="635">
        <v>1</v>
      </c>
      <c r="AB158" s="133">
        <f>SUM(AB151:AB157)</f>
        <v>0</v>
      </c>
      <c r="AC158" s="636" t="e">
        <f t="shared" ref="AC158" si="128">+AD158/V158</f>
        <v>#DIV/0!</v>
      </c>
      <c r="AD158" s="133">
        <f>SUM(AD151:AD157)</f>
        <v>0</v>
      </c>
      <c r="AE158" s="607"/>
      <c r="AF158" s="211"/>
    </row>
    <row r="159" spans="1:32" s="665" customFormat="1" ht="15" hidden="1" customHeight="1" x14ac:dyDescent="0.25">
      <c r="B159" s="306"/>
      <c r="C159" s="678"/>
      <c r="D159" s="679"/>
      <c r="E159" s="680"/>
      <c r="F159" s="669"/>
      <c r="G159" s="681"/>
      <c r="H159" s="679"/>
      <c r="I159" s="680"/>
      <c r="J159" s="669"/>
      <c r="K159" s="682"/>
      <c r="L159" s="679"/>
      <c r="M159" s="683"/>
      <c r="N159" s="684"/>
      <c r="O159" s="684"/>
      <c r="P159" s="669"/>
      <c r="Q159" s="669"/>
      <c r="R159" s="685"/>
      <c r="S159" s="669"/>
      <c r="T159" s="686"/>
      <c r="U159" s="683"/>
      <c r="V159" s="686"/>
      <c r="W159" s="686"/>
      <c r="X159" s="687"/>
      <c r="Y159" s="688"/>
      <c r="Z159" s="689"/>
      <c r="AA159" s="668"/>
      <c r="AB159" s="690"/>
      <c r="AC159" s="637"/>
      <c r="AD159" s="691"/>
      <c r="AE159" s="717"/>
      <c r="AF159" s="692"/>
    </row>
    <row r="160" spans="1:32" s="112" customFormat="1" ht="15" hidden="1" customHeight="1" x14ac:dyDescent="0.25">
      <c r="B160" s="470" t="s">
        <v>315</v>
      </c>
      <c r="C160" s="318"/>
      <c r="D160" s="324"/>
      <c r="E160" s="100"/>
      <c r="F160" s="322"/>
      <c r="G160" s="94"/>
      <c r="H160" s="324"/>
      <c r="I160" s="100"/>
      <c r="J160" s="162"/>
      <c r="K160" s="164"/>
      <c r="L160" s="323"/>
      <c r="M160" s="323"/>
      <c r="N160" s="166"/>
      <c r="O160" s="323"/>
      <c r="P160" s="322"/>
      <c r="Q160" s="322"/>
      <c r="R160" s="322"/>
      <c r="S160" s="322"/>
      <c r="T160" s="134"/>
      <c r="U160" s="318"/>
      <c r="V160" s="134"/>
      <c r="W160" s="134"/>
      <c r="X160" s="355"/>
      <c r="Y160" s="469"/>
      <c r="Z160" s="290"/>
      <c r="AA160" s="94"/>
      <c r="AB160" s="648"/>
      <c r="AC160" s="94"/>
      <c r="AD160" s="94"/>
      <c r="AE160" s="607"/>
      <c r="AF160" s="211"/>
    </row>
    <row r="161" spans="1:32" s="112" customFormat="1" ht="15" hidden="1" customHeight="1" x14ac:dyDescent="0.25">
      <c r="B161" s="178" t="s">
        <v>163</v>
      </c>
      <c r="C161" s="318"/>
      <c r="D161" s="193" t="s">
        <v>50</v>
      </c>
      <c r="E161" s="317"/>
      <c r="F161" s="606">
        <v>0</v>
      </c>
      <c r="G161" s="317"/>
      <c r="H161" s="193" t="s">
        <v>51</v>
      </c>
      <c r="I161" s="317"/>
      <c r="J161" s="321">
        <v>1</v>
      </c>
      <c r="K161" s="322"/>
      <c r="L161" s="193" t="s">
        <v>328</v>
      </c>
      <c r="M161" s="317"/>
      <c r="N161" s="323"/>
      <c r="O161" s="323"/>
      <c r="P161" s="321">
        <v>30</v>
      </c>
      <c r="Q161" s="322"/>
      <c r="R161" s="327">
        <f t="shared" si="123"/>
        <v>8.5714285714285712</v>
      </c>
      <c r="S161" s="322"/>
      <c r="T161" s="319">
        <f t="shared" si="124"/>
        <v>0</v>
      </c>
      <c r="U161" s="317"/>
      <c r="V161" s="319">
        <f t="shared" si="125"/>
        <v>0</v>
      </c>
      <c r="W161" s="320"/>
      <c r="X161" s="337">
        <f t="shared" si="126"/>
        <v>0</v>
      </c>
      <c r="Y161" s="167"/>
      <c r="Z161" s="326">
        <f>V161/$V$601</f>
        <v>0</v>
      </c>
      <c r="AA161" s="635">
        <v>1</v>
      </c>
      <c r="AB161" s="638">
        <f t="shared" ref="AB161:AB166" si="129">+W161+V161*AA161</f>
        <v>0</v>
      </c>
      <c r="AC161" s="636" t="e">
        <f t="shared" si="121"/>
        <v>#DIV/0!</v>
      </c>
      <c r="AD161" s="292">
        <f t="shared" ref="AD161:AD166" si="130">+V161-AB161</f>
        <v>0</v>
      </c>
      <c r="AE161" s="607" t="s">
        <v>100</v>
      </c>
      <c r="AF161" s="211"/>
    </row>
    <row r="162" spans="1:32" s="112" customFormat="1" ht="15" hidden="1" customHeight="1" x14ac:dyDescent="0.25">
      <c r="B162" s="306" t="s">
        <v>283</v>
      </c>
      <c r="C162" s="318"/>
      <c r="D162" s="193" t="s">
        <v>50</v>
      </c>
      <c r="E162" s="317"/>
      <c r="F162" s="606">
        <v>0</v>
      </c>
      <c r="G162" s="317"/>
      <c r="H162" s="193"/>
      <c r="I162" s="100"/>
      <c r="J162" s="321"/>
      <c r="K162" s="322"/>
      <c r="L162" s="193"/>
      <c r="M162" s="317"/>
      <c r="N162" s="323"/>
      <c r="O162" s="323"/>
      <c r="P162" s="321"/>
      <c r="Q162" s="322"/>
      <c r="R162" s="327">
        <f t="shared" si="123"/>
        <v>0</v>
      </c>
      <c r="S162" s="322"/>
      <c r="T162" s="319">
        <f t="shared" si="124"/>
        <v>0</v>
      </c>
      <c r="U162" s="317"/>
      <c r="V162" s="319">
        <f t="shared" si="125"/>
        <v>0</v>
      </c>
      <c r="W162" s="320"/>
      <c r="X162" s="337">
        <f t="shared" si="126"/>
        <v>0</v>
      </c>
      <c r="Y162" s="167"/>
      <c r="Z162" s="326"/>
      <c r="AA162" s="635">
        <v>1</v>
      </c>
      <c r="AB162" s="638">
        <f t="shared" si="129"/>
        <v>0</v>
      </c>
      <c r="AC162" s="636"/>
      <c r="AD162" s="292">
        <f t="shared" si="130"/>
        <v>0</v>
      </c>
      <c r="AE162" s="607"/>
      <c r="AF162" s="211"/>
    </row>
    <row r="163" spans="1:32" s="112" customFormat="1" ht="15" hidden="1" customHeight="1" x14ac:dyDescent="0.25">
      <c r="B163" s="178" t="s">
        <v>316</v>
      </c>
      <c r="C163" s="318"/>
      <c r="D163" s="193" t="s">
        <v>50</v>
      </c>
      <c r="E163" s="317"/>
      <c r="F163" s="606">
        <v>0</v>
      </c>
      <c r="G163" s="317"/>
      <c r="H163" s="193" t="s">
        <v>51</v>
      </c>
      <c r="I163" s="100"/>
      <c r="J163" s="321">
        <v>1</v>
      </c>
      <c r="K163" s="322"/>
      <c r="L163" s="193" t="s">
        <v>328</v>
      </c>
      <c r="M163" s="323"/>
      <c r="N163" s="323"/>
      <c r="O163" s="323"/>
      <c r="P163" s="321">
        <v>30</v>
      </c>
      <c r="Q163" s="322"/>
      <c r="R163" s="327">
        <f t="shared" si="123"/>
        <v>8.5714285714285712</v>
      </c>
      <c r="S163" s="322"/>
      <c r="T163" s="319">
        <f t="shared" si="124"/>
        <v>0</v>
      </c>
      <c r="U163" s="317"/>
      <c r="V163" s="319">
        <f t="shared" si="125"/>
        <v>0</v>
      </c>
      <c r="W163" s="320"/>
      <c r="X163" s="337">
        <f t="shared" si="126"/>
        <v>0</v>
      </c>
      <c r="Y163" s="167"/>
      <c r="Z163" s="326">
        <f>V163/$V$601</f>
        <v>0</v>
      </c>
      <c r="AA163" s="635">
        <v>1</v>
      </c>
      <c r="AB163" s="638">
        <f t="shared" si="129"/>
        <v>0</v>
      </c>
      <c r="AC163" s="636" t="e">
        <f t="shared" si="121"/>
        <v>#DIV/0!</v>
      </c>
      <c r="AD163" s="292">
        <f t="shared" si="130"/>
        <v>0</v>
      </c>
      <c r="AE163" s="607" t="s">
        <v>102</v>
      </c>
      <c r="AF163" s="211"/>
    </row>
    <row r="164" spans="1:32" s="112" customFormat="1" ht="15" hidden="1" customHeight="1" x14ac:dyDescent="0.25">
      <c r="B164" s="178" t="s">
        <v>164</v>
      </c>
      <c r="C164" s="318"/>
      <c r="D164" s="193" t="s">
        <v>194</v>
      </c>
      <c r="E164" s="317"/>
      <c r="F164" s="606">
        <v>0</v>
      </c>
      <c r="G164" s="317"/>
      <c r="H164" s="193" t="s">
        <v>51</v>
      </c>
      <c r="I164" s="317"/>
      <c r="J164" s="321">
        <v>1</v>
      </c>
      <c r="K164" s="322"/>
      <c r="L164" s="193"/>
      <c r="M164" s="317"/>
      <c r="N164" s="323"/>
      <c r="O164" s="323"/>
      <c r="P164" s="321">
        <v>100</v>
      </c>
      <c r="Q164" s="322"/>
      <c r="R164" s="327">
        <f t="shared" si="123"/>
        <v>28.571428571428573</v>
      </c>
      <c r="S164" s="322"/>
      <c r="T164" s="319">
        <f t="shared" si="124"/>
        <v>0</v>
      </c>
      <c r="U164" s="317"/>
      <c r="V164" s="319">
        <f t="shared" si="125"/>
        <v>0</v>
      </c>
      <c r="W164" s="320"/>
      <c r="X164" s="337">
        <f t="shared" si="126"/>
        <v>0</v>
      </c>
      <c r="Y164" s="167"/>
      <c r="Z164" s="326">
        <f>V164/$V$601</f>
        <v>0</v>
      </c>
      <c r="AA164" s="635">
        <v>1</v>
      </c>
      <c r="AB164" s="638">
        <f t="shared" si="129"/>
        <v>0</v>
      </c>
      <c r="AC164" s="636" t="e">
        <f t="shared" si="121"/>
        <v>#DIV/0!</v>
      </c>
      <c r="AD164" s="292">
        <f t="shared" si="130"/>
        <v>0</v>
      </c>
      <c r="AE164" s="607" t="s">
        <v>100</v>
      </c>
      <c r="AF164" s="211"/>
    </row>
    <row r="165" spans="1:32" s="491" customFormat="1" ht="15" hidden="1" customHeight="1" x14ac:dyDescent="0.25">
      <c r="B165" s="178" t="s">
        <v>16</v>
      </c>
      <c r="C165" s="478"/>
      <c r="D165" s="479" t="s">
        <v>50</v>
      </c>
      <c r="E165" s="480"/>
      <c r="F165" s="606">
        <v>0</v>
      </c>
      <c r="G165" s="480"/>
      <c r="H165" s="479" t="s">
        <v>131</v>
      </c>
      <c r="I165" s="482"/>
      <c r="J165" s="321">
        <v>2</v>
      </c>
      <c r="K165" s="483"/>
      <c r="L165" s="479"/>
      <c r="M165" s="478"/>
      <c r="N165" s="478"/>
      <c r="O165" s="478"/>
      <c r="P165" s="321">
        <v>15</v>
      </c>
      <c r="Q165" s="483"/>
      <c r="R165" s="327">
        <f>P165/$V$6</f>
        <v>4.2857142857142856</v>
      </c>
      <c r="S165" s="483"/>
      <c r="T165" s="485">
        <f t="shared" si="124"/>
        <v>0</v>
      </c>
      <c r="U165" s="480"/>
      <c r="V165" s="485">
        <f t="shared" si="125"/>
        <v>0</v>
      </c>
      <c r="W165" s="486"/>
      <c r="X165" s="487">
        <f t="shared" si="126"/>
        <v>0</v>
      </c>
      <c r="Y165" s="488"/>
      <c r="Z165" s="489">
        <f>V165/$V$601</f>
        <v>0</v>
      </c>
      <c r="AA165" s="635">
        <v>1</v>
      </c>
      <c r="AB165" s="638">
        <f t="shared" si="129"/>
        <v>0</v>
      </c>
      <c r="AC165" s="636" t="e">
        <f t="shared" si="121"/>
        <v>#DIV/0!</v>
      </c>
      <c r="AD165" s="292">
        <f t="shared" si="130"/>
        <v>0</v>
      </c>
      <c r="AE165" s="607" t="s">
        <v>102</v>
      </c>
      <c r="AF165" s="490"/>
    </row>
    <row r="166" spans="1:32" s="112" customFormat="1" ht="15" hidden="1" customHeight="1" x14ac:dyDescent="0.25">
      <c r="B166" s="178" t="s">
        <v>17</v>
      </c>
      <c r="C166" s="318"/>
      <c r="D166" s="193" t="s">
        <v>98</v>
      </c>
      <c r="E166" s="317"/>
      <c r="F166" s="606">
        <v>0</v>
      </c>
      <c r="G166" s="317"/>
      <c r="H166" s="193" t="s">
        <v>54</v>
      </c>
      <c r="I166" s="100"/>
      <c r="J166" s="321">
        <f>11*3</f>
        <v>33</v>
      </c>
      <c r="K166" s="164"/>
      <c r="L166" s="193" t="s">
        <v>51</v>
      </c>
      <c r="M166" s="163"/>
      <c r="N166" s="321">
        <v>7</v>
      </c>
      <c r="O166" s="165"/>
      <c r="P166" s="321">
        <v>3.3</v>
      </c>
      <c r="Q166" s="322"/>
      <c r="R166" s="327">
        <f t="shared" si="123"/>
        <v>0.94285714285714284</v>
      </c>
      <c r="S166" s="322"/>
      <c r="T166" s="319">
        <f t="shared" si="124"/>
        <v>0</v>
      </c>
      <c r="U166" s="317"/>
      <c r="V166" s="319">
        <f t="shared" si="125"/>
        <v>0</v>
      </c>
      <c r="W166" s="320"/>
      <c r="X166" s="337">
        <f t="shared" si="126"/>
        <v>0</v>
      </c>
      <c r="Y166" s="167"/>
      <c r="Z166" s="326">
        <f>V166/$V$601</f>
        <v>0</v>
      </c>
      <c r="AA166" s="635">
        <v>1</v>
      </c>
      <c r="AB166" s="638">
        <f t="shared" si="129"/>
        <v>0</v>
      </c>
      <c r="AC166" s="636" t="e">
        <f t="shared" si="121"/>
        <v>#DIV/0!</v>
      </c>
      <c r="AD166" s="292">
        <f t="shared" si="130"/>
        <v>0</v>
      </c>
      <c r="AE166" s="611" t="s">
        <v>55</v>
      </c>
      <c r="AF166" s="211"/>
    </row>
    <row r="167" spans="1:32" s="112" customFormat="1" ht="15" hidden="1" customHeight="1" thickBot="1" x14ac:dyDescent="0.3">
      <c r="A167" s="112" t="s">
        <v>287</v>
      </c>
      <c r="B167" s="468" t="s">
        <v>96</v>
      </c>
      <c r="C167" s="318"/>
      <c r="D167" s="324"/>
      <c r="E167" s="317"/>
      <c r="F167" s="322"/>
      <c r="G167" s="317"/>
      <c r="H167" s="324"/>
      <c r="I167" s="317"/>
      <c r="J167" s="162"/>
      <c r="K167" s="322"/>
      <c r="L167" s="323"/>
      <c r="M167" s="323"/>
      <c r="N167" s="166"/>
      <c r="O167" s="323"/>
      <c r="P167" s="322"/>
      <c r="Q167" s="322"/>
      <c r="R167" s="322"/>
      <c r="S167" s="322"/>
      <c r="T167" s="296">
        <f>SUM(T161:T166)</f>
        <v>0</v>
      </c>
      <c r="U167" s="296">
        <f>SUM(U161:U166)</f>
        <v>0</v>
      </c>
      <c r="V167" s="296">
        <f>SUM(V161:V166)</f>
        <v>0</v>
      </c>
      <c r="W167" s="134"/>
      <c r="X167" s="359">
        <f>SUM(X161:X166)</f>
        <v>0</v>
      </c>
      <c r="Y167" s="469"/>
      <c r="Z167" s="286">
        <f>V167/$V$601</f>
        <v>0</v>
      </c>
      <c r="AA167" s="668"/>
      <c r="AB167" s="296">
        <f>SUM(AB161:AB166)</f>
        <v>0</v>
      </c>
      <c r="AC167" s="637"/>
      <c r="AD167" s="296">
        <f>SUM(AD161:AD166)</f>
        <v>0</v>
      </c>
      <c r="AE167" s="607"/>
      <c r="AF167" s="211"/>
    </row>
    <row r="168" spans="1:32" s="112" customFormat="1" ht="15" hidden="1" customHeight="1" x14ac:dyDescent="0.25">
      <c r="B168" s="470"/>
      <c r="C168" s="318"/>
      <c r="D168" s="324"/>
      <c r="E168" s="100"/>
      <c r="F168" s="322"/>
      <c r="G168" s="94"/>
      <c r="H168" s="324"/>
      <c r="I168" s="100"/>
      <c r="J168" s="162"/>
      <c r="K168" s="164"/>
      <c r="L168" s="323"/>
      <c r="M168" s="323"/>
      <c r="N168" s="166"/>
      <c r="O168" s="323"/>
      <c r="P168" s="322"/>
      <c r="Q168" s="322"/>
      <c r="R168" s="322"/>
      <c r="S168" s="322"/>
      <c r="T168" s="134"/>
      <c r="U168" s="318"/>
      <c r="V168" s="134"/>
      <c r="W168" s="134"/>
      <c r="X168" s="355"/>
      <c r="Y168" s="469"/>
      <c r="Z168" s="290"/>
      <c r="AA168" s="94"/>
      <c r="AB168" s="648"/>
      <c r="AC168" s="94"/>
      <c r="AD168" s="94"/>
      <c r="AE168" s="607"/>
      <c r="AF168" s="211"/>
    </row>
    <row r="169" spans="1:32" s="112" customFormat="1" ht="15" hidden="1" customHeight="1" x14ac:dyDescent="0.25">
      <c r="B169" s="177" t="s">
        <v>251</v>
      </c>
      <c r="C169" s="318"/>
      <c r="D169" s="324"/>
      <c r="E169" s="100"/>
      <c r="F169" s="322"/>
      <c r="G169" s="94"/>
      <c r="H169" s="324"/>
      <c r="I169" s="100"/>
      <c r="J169" s="162"/>
      <c r="K169" s="164"/>
      <c r="L169" s="323"/>
      <c r="M169" s="323"/>
      <c r="N169" s="166"/>
      <c r="O169" s="323"/>
      <c r="P169" s="322"/>
      <c r="Q169" s="322"/>
      <c r="R169" s="322"/>
      <c r="S169" s="322"/>
      <c r="T169" s="302"/>
      <c r="U169" s="318"/>
      <c r="V169" s="302"/>
      <c r="W169" s="134"/>
      <c r="X169" s="344"/>
      <c r="Y169" s="240"/>
      <c r="Z169" s="290"/>
      <c r="AA169" s="94"/>
      <c r="AB169" s="648"/>
      <c r="AC169" s="94"/>
      <c r="AD169" s="94"/>
      <c r="AE169" s="607"/>
      <c r="AF169" s="211"/>
    </row>
    <row r="170" spans="1:32" s="491" customFormat="1" ht="15" hidden="1" customHeight="1" x14ac:dyDescent="0.25">
      <c r="B170" s="178" t="s">
        <v>163</v>
      </c>
      <c r="C170" s="478"/>
      <c r="D170" s="479" t="s">
        <v>50</v>
      </c>
      <c r="E170" s="482"/>
      <c r="F170" s="606">
        <v>0</v>
      </c>
      <c r="G170" s="659"/>
      <c r="H170" s="479" t="s">
        <v>326</v>
      </c>
      <c r="I170" s="482"/>
      <c r="J170" s="481">
        <v>6</v>
      </c>
      <c r="K170" s="541"/>
      <c r="L170" s="479"/>
      <c r="M170" s="480"/>
      <c r="N170" s="478"/>
      <c r="O170" s="478"/>
      <c r="P170" s="481">
        <v>0</v>
      </c>
      <c r="Q170" s="483"/>
      <c r="R170" s="484">
        <f t="shared" ref="R170:R174" si="131">P170/$V$6</f>
        <v>0</v>
      </c>
      <c r="S170" s="483"/>
      <c r="T170" s="485">
        <f t="shared" ref="T170:T174" si="132">IF(N170=0,IF(J170=0,F170*P170,F170*J170*P170),F170*J170*N170*P170)</f>
        <v>0</v>
      </c>
      <c r="U170" s="480"/>
      <c r="V170" s="485">
        <f t="shared" ref="V170:V174" si="133">T170/$V$6</f>
        <v>0</v>
      </c>
      <c r="W170" s="486"/>
      <c r="X170" s="487">
        <f t="shared" ref="X170:X174" si="134">V170/$V$3</f>
        <v>0</v>
      </c>
      <c r="Y170" s="488"/>
      <c r="Z170" s="489">
        <f>V170/$V$601</f>
        <v>0</v>
      </c>
      <c r="AA170" s="660">
        <v>1</v>
      </c>
      <c r="AB170" s="661">
        <f>+W170+V170*AA170</f>
        <v>0</v>
      </c>
      <c r="AC170" s="662" t="e">
        <f t="shared" ref="AC170:AC174" si="135">+AD170/V170</f>
        <v>#DIV/0!</v>
      </c>
      <c r="AD170" s="483">
        <f>+V170-AB170</f>
        <v>0</v>
      </c>
      <c r="AE170" s="607" t="s">
        <v>99</v>
      </c>
      <c r="AF170" s="490"/>
    </row>
    <row r="171" spans="1:32" s="491" customFormat="1" ht="15" hidden="1" customHeight="1" x14ac:dyDescent="0.25">
      <c r="B171" s="306" t="s">
        <v>283</v>
      </c>
      <c r="C171" s="478"/>
      <c r="D171" s="479" t="s">
        <v>50</v>
      </c>
      <c r="E171" s="482"/>
      <c r="F171" s="606">
        <v>0</v>
      </c>
      <c r="G171" s="659"/>
      <c r="H171" s="479"/>
      <c r="I171" s="482"/>
      <c r="J171" s="481"/>
      <c r="K171" s="541"/>
      <c r="L171" s="479"/>
      <c r="M171" s="480"/>
      <c r="N171" s="478"/>
      <c r="O171" s="478"/>
      <c r="P171" s="606"/>
      <c r="Q171" s="483"/>
      <c r="R171" s="484">
        <f t="shared" si="131"/>
        <v>0</v>
      </c>
      <c r="S171" s="483"/>
      <c r="T171" s="485">
        <f t="shared" si="132"/>
        <v>0</v>
      </c>
      <c r="U171" s="480"/>
      <c r="V171" s="485">
        <f t="shared" si="133"/>
        <v>0</v>
      </c>
      <c r="W171" s="486"/>
      <c r="X171" s="487">
        <f t="shared" si="134"/>
        <v>0</v>
      </c>
      <c r="Y171" s="488"/>
      <c r="Z171" s="489"/>
      <c r="AA171" s="660">
        <v>1</v>
      </c>
      <c r="AB171" s="661">
        <f>+W171+V171*AA171</f>
        <v>0</v>
      </c>
      <c r="AC171" s="662"/>
      <c r="AD171" s="483">
        <f>+V171-AB171</f>
        <v>0</v>
      </c>
      <c r="AE171" s="607"/>
      <c r="AF171" s="490"/>
    </row>
    <row r="172" spans="1:32" s="491" customFormat="1" ht="45" hidden="1" x14ac:dyDescent="0.25">
      <c r="B172" s="178" t="s">
        <v>316</v>
      </c>
      <c r="C172" s="478"/>
      <c r="D172" s="479" t="s">
        <v>252</v>
      </c>
      <c r="E172" s="482"/>
      <c r="F172" s="606">
        <v>0</v>
      </c>
      <c r="G172" s="659"/>
      <c r="H172" s="479" t="s">
        <v>327</v>
      </c>
      <c r="I172" s="482"/>
      <c r="J172" s="481">
        <v>6</v>
      </c>
      <c r="K172" s="541"/>
      <c r="L172" s="765" t="s">
        <v>398</v>
      </c>
      <c r="M172" s="480"/>
      <c r="N172" s="478"/>
      <c r="O172" s="478"/>
      <c r="P172" s="321">
        <v>30</v>
      </c>
      <c r="Q172" s="483"/>
      <c r="R172" s="484">
        <f t="shared" si="131"/>
        <v>8.5714285714285712</v>
      </c>
      <c r="S172" s="483"/>
      <c r="T172" s="485">
        <f t="shared" si="132"/>
        <v>0</v>
      </c>
      <c r="U172" s="480"/>
      <c r="V172" s="485">
        <f t="shared" si="133"/>
        <v>0</v>
      </c>
      <c r="W172" s="486"/>
      <c r="X172" s="487">
        <f t="shared" si="134"/>
        <v>0</v>
      </c>
      <c r="Y172" s="488"/>
      <c r="Z172" s="489"/>
      <c r="AA172" s="660">
        <v>1</v>
      </c>
      <c r="AB172" s="661">
        <f>+W172+V172*AA172</f>
        <v>0</v>
      </c>
      <c r="AC172" s="662"/>
      <c r="AD172" s="483">
        <f>+V172-AB172</f>
        <v>0</v>
      </c>
      <c r="AE172" s="607"/>
      <c r="AF172" s="490"/>
    </row>
    <row r="173" spans="1:32" s="491" customFormat="1" ht="15" hidden="1" customHeight="1" x14ac:dyDescent="0.25">
      <c r="B173" s="178" t="s">
        <v>16</v>
      </c>
      <c r="C173" s="478"/>
      <c r="D173" s="479" t="s">
        <v>50</v>
      </c>
      <c r="E173" s="480"/>
      <c r="F173" s="606">
        <v>0</v>
      </c>
      <c r="G173" s="480"/>
      <c r="H173" s="479" t="s">
        <v>51</v>
      </c>
      <c r="I173" s="482"/>
      <c r="J173" s="481">
        <v>6</v>
      </c>
      <c r="K173" s="483"/>
      <c r="L173" s="479"/>
      <c r="M173" s="478"/>
      <c r="N173" s="478"/>
      <c r="O173" s="478"/>
      <c r="P173" s="481">
        <v>15</v>
      </c>
      <c r="Q173" s="483"/>
      <c r="R173" s="484">
        <f t="shared" si="131"/>
        <v>4.2857142857142856</v>
      </c>
      <c r="S173" s="483"/>
      <c r="T173" s="485">
        <f t="shared" si="132"/>
        <v>0</v>
      </c>
      <c r="U173" s="480"/>
      <c r="V173" s="485">
        <f t="shared" si="133"/>
        <v>0</v>
      </c>
      <c r="W173" s="486"/>
      <c r="X173" s="487">
        <f t="shared" si="134"/>
        <v>0</v>
      </c>
      <c r="Y173" s="488"/>
      <c r="Z173" s="489">
        <f>V173/$V$601</f>
        <v>0</v>
      </c>
      <c r="AA173" s="660">
        <v>1</v>
      </c>
      <c r="AB173" s="661">
        <f>+W173+V173*AA173</f>
        <v>0</v>
      </c>
      <c r="AC173" s="662" t="e">
        <f t="shared" si="135"/>
        <v>#DIV/0!</v>
      </c>
      <c r="AD173" s="483">
        <f>+V173-AB173</f>
        <v>0</v>
      </c>
      <c r="AE173" s="607" t="s">
        <v>102</v>
      </c>
      <c r="AF173" s="490"/>
    </row>
    <row r="174" spans="1:32" s="112" customFormat="1" ht="15" hidden="1" customHeight="1" x14ac:dyDescent="0.25">
      <c r="B174" s="178" t="s">
        <v>17</v>
      </c>
      <c r="C174" s="318"/>
      <c r="D174" s="193" t="s">
        <v>98</v>
      </c>
      <c r="E174" s="317"/>
      <c r="F174" s="606">
        <v>0</v>
      </c>
      <c r="G174" s="317"/>
      <c r="H174" s="193" t="s">
        <v>54</v>
      </c>
      <c r="I174" s="100"/>
      <c r="J174" s="321">
        <v>45</v>
      </c>
      <c r="K174" s="164"/>
      <c r="L174" s="193" t="s">
        <v>51</v>
      </c>
      <c r="M174" s="163"/>
      <c r="N174" s="321">
        <v>6</v>
      </c>
      <c r="O174" s="165"/>
      <c r="P174" s="321">
        <v>3.3</v>
      </c>
      <c r="Q174" s="322"/>
      <c r="R174" s="484">
        <f t="shared" si="131"/>
        <v>0.94285714285714284</v>
      </c>
      <c r="S174" s="322"/>
      <c r="T174" s="319">
        <f t="shared" si="132"/>
        <v>0</v>
      </c>
      <c r="U174" s="317"/>
      <c r="V174" s="485">
        <f t="shared" si="133"/>
        <v>0</v>
      </c>
      <c r="W174" s="320"/>
      <c r="X174" s="487">
        <f t="shared" si="134"/>
        <v>0</v>
      </c>
      <c r="Y174" s="167"/>
      <c r="Z174" s="326">
        <f>V174/$V$601</f>
        <v>0</v>
      </c>
      <c r="AA174" s="635">
        <v>1</v>
      </c>
      <c r="AB174" s="638">
        <f>+W174+V174*AA174</f>
        <v>0</v>
      </c>
      <c r="AC174" s="636" t="e">
        <f t="shared" si="135"/>
        <v>#DIV/0!</v>
      </c>
      <c r="AD174" s="292">
        <f>+V174-AB174</f>
        <v>0</v>
      </c>
      <c r="AE174" s="611" t="s">
        <v>55</v>
      </c>
      <c r="AF174" s="211"/>
    </row>
    <row r="175" spans="1:32" s="112" customFormat="1" ht="15" hidden="1" customHeight="1" thickBot="1" x14ac:dyDescent="0.3">
      <c r="A175" s="112" t="s">
        <v>288</v>
      </c>
      <c r="B175" s="468" t="s">
        <v>96</v>
      </c>
      <c r="C175" s="318"/>
      <c r="D175" s="324"/>
      <c r="E175" s="317"/>
      <c r="F175" s="322"/>
      <c r="G175" s="317"/>
      <c r="H175" s="324"/>
      <c r="I175" s="317"/>
      <c r="J175" s="162"/>
      <c r="K175" s="322"/>
      <c r="L175" s="323"/>
      <c r="M175" s="323"/>
      <c r="N175" s="166"/>
      <c r="O175" s="323"/>
      <c r="P175" s="322"/>
      <c r="Q175" s="322"/>
      <c r="R175" s="322"/>
      <c r="S175" s="322"/>
      <c r="T175" s="296">
        <f>SUM(T170:T174)</f>
        <v>0</v>
      </c>
      <c r="U175" s="318"/>
      <c r="V175" s="296">
        <f>SUM(V170:V174)</f>
        <v>0</v>
      </c>
      <c r="W175" s="134"/>
      <c r="X175" s="670">
        <f>SUM(X170:X174)</f>
        <v>0</v>
      </c>
      <c r="Y175" s="469"/>
      <c r="Z175" s="286">
        <f>V175/$V$601</f>
        <v>0</v>
      </c>
      <c r="AA175" s="668"/>
      <c r="AB175" s="296">
        <f>SUM(AB170:AB174)</f>
        <v>0</v>
      </c>
      <c r="AC175" s="637"/>
      <c r="AD175" s="296">
        <f>SUM(AD170:AD174)</f>
        <v>0</v>
      </c>
      <c r="AE175" s="607"/>
      <c r="AF175" s="211"/>
    </row>
    <row r="176" spans="1:32" s="112" customFormat="1" ht="15" hidden="1" customHeight="1" thickBot="1" x14ac:dyDescent="0.3">
      <c r="B176" s="470"/>
      <c r="C176" s="318"/>
      <c r="D176" s="324"/>
      <c r="E176" s="100"/>
      <c r="F176" s="322"/>
      <c r="G176" s="94"/>
      <c r="H176" s="324"/>
      <c r="I176" s="100"/>
      <c r="J176" s="162"/>
      <c r="K176" s="164"/>
      <c r="L176" s="323"/>
      <c r="M176" s="323"/>
      <c r="N176" s="166"/>
      <c r="O176" s="323"/>
      <c r="P176" s="322"/>
      <c r="Q176" s="322"/>
      <c r="R176" s="322"/>
      <c r="S176" s="322"/>
      <c r="T176" s="134"/>
      <c r="U176" s="318"/>
      <c r="V176" s="134"/>
      <c r="W176" s="134"/>
      <c r="X176" s="355"/>
      <c r="Y176" s="469"/>
      <c r="Z176" s="286"/>
      <c r="AA176" s="94"/>
      <c r="AB176" s="648"/>
      <c r="AC176" s="94"/>
      <c r="AD176" s="94"/>
      <c r="AE176" s="607"/>
      <c r="AF176" s="211"/>
    </row>
    <row r="177" spans="1:32" s="112" customFormat="1" ht="15" hidden="1" customHeight="1" x14ac:dyDescent="0.25">
      <c r="B177" s="187" t="s">
        <v>279</v>
      </c>
      <c r="C177" s="318"/>
      <c r="D177" s="324"/>
      <c r="E177" s="317"/>
      <c r="F177" s="322"/>
      <c r="G177" s="317"/>
      <c r="H177" s="324"/>
      <c r="I177" s="317"/>
      <c r="J177" s="322"/>
      <c r="K177" s="322"/>
      <c r="L177" s="323"/>
      <c r="M177" s="323"/>
      <c r="N177" s="323"/>
      <c r="O177" s="323"/>
      <c r="P177" s="322"/>
      <c r="Q177" s="322"/>
      <c r="R177" s="322"/>
      <c r="S177" s="322"/>
      <c r="T177" s="320"/>
      <c r="U177" s="317"/>
      <c r="V177" s="320"/>
      <c r="W177" s="320"/>
      <c r="X177" s="349"/>
      <c r="Y177" s="477"/>
      <c r="Z177" s="290">
        <f t="shared" ref="Z177:Z189" si="136">V177/$V$601</f>
        <v>0</v>
      </c>
      <c r="AA177" s="94"/>
      <c r="AB177" s="648"/>
      <c r="AC177" s="94"/>
      <c r="AD177" s="94"/>
      <c r="AE177" s="607"/>
      <c r="AF177" s="211"/>
    </row>
    <row r="178" spans="1:32" s="112" customFormat="1" ht="15" hidden="1" customHeight="1" x14ac:dyDescent="0.25">
      <c r="B178" s="325" t="s">
        <v>271</v>
      </c>
      <c r="C178" s="318"/>
      <c r="D178" s="324" t="s">
        <v>60</v>
      </c>
      <c r="E178" s="317"/>
      <c r="F178" s="608">
        <v>0</v>
      </c>
      <c r="G178" s="317"/>
      <c r="H178" s="324"/>
      <c r="I178" s="317"/>
      <c r="J178" s="162"/>
      <c r="K178" s="322"/>
      <c r="L178" s="323"/>
      <c r="M178" s="323"/>
      <c r="N178" s="323"/>
      <c r="O178" s="323"/>
      <c r="P178" s="322">
        <v>20</v>
      </c>
      <c r="Q178" s="322"/>
      <c r="R178" s="327">
        <f t="shared" ref="R178:R188" si="137">P178/$V$6</f>
        <v>5.7142857142857144</v>
      </c>
      <c r="S178" s="322"/>
      <c r="T178" s="320">
        <f>+P178*F178</f>
        <v>0</v>
      </c>
      <c r="U178" s="317"/>
      <c r="V178" s="320">
        <f t="shared" ref="V178:V188" si="138">T178/$V$6</f>
        <v>0</v>
      </c>
      <c r="W178" s="320"/>
      <c r="X178" s="349">
        <f t="shared" ref="X178:X188" si="139">V178/$V$3</f>
        <v>0</v>
      </c>
      <c r="Y178" s="477"/>
      <c r="Z178" s="290">
        <f t="shared" si="136"/>
        <v>0</v>
      </c>
      <c r="AA178" s="635">
        <v>1</v>
      </c>
      <c r="AB178" s="638">
        <f t="shared" ref="AB178:AB188" si="140">+W178+V178*AA178</f>
        <v>0</v>
      </c>
      <c r="AC178" s="636" t="e">
        <f t="shared" ref="AC178:AC188" si="141">+AD178/V178</f>
        <v>#DIV/0!</v>
      </c>
      <c r="AD178" s="292">
        <f t="shared" ref="AD178:AD188" si="142">+V178-AB178</f>
        <v>0</v>
      </c>
      <c r="AE178" s="607" t="s">
        <v>61</v>
      </c>
      <c r="AF178" s="211"/>
    </row>
    <row r="179" spans="1:32" s="112" customFormat="1" ht="15" hidden="1" customHeight="1" x14ac:dyDescent="0.25">
      <c r="B179" s="325" t="s">
        <v>329</v>
      </c>
      <c r="C179" s="318"/>
      <c r="D179" s="324" t="s">
        <v>60</v>
      </c>
      <c r="E179" s="317"/>
      <c r="F179" s="608">
        <v>0</v>
      </c>
      <c r="G179" s="317"/>
      <c r="H179" s="324"/>
      <c r="I179" s="317"/>
      <c r="J179" s="162"/>
      <c r="K179" s="322"/>
      <c r="L179" s="323"/>
      <c r="M179" s="323"/>
      <c r="N179" s="323"/>
      <c r="O179" s="323"/>
      <c r="P179" s="322">
        <v>0.3</v>
      </c>
      <c r="Q179" s="322"/>
      <c r="R179" s="327">
        <f t="shared" si="137"/>
        <v>8.5714285714285715E-2</v>
      </c>
      <c r="S179" s="322"/>
      <c r="T179" s="320">
        <f t="shared" ref="T179:T188" si="143">+P179*F179</f>
        <v>0</v>
      </c>
      <c r="U179" s="317"/>
      <c r="V179" s="320">
        <f t="shared" si="138"/>
        <v>0</v>
      </c>
      <c r="W179" s="320"/>
      <c r="X179" s="349">
        <f t="shared" si="139"/>
        <v>0</v>
      </c>
      <c r="Y179" s="477"/>
      <c r="Z179" s="290">
        <f t="shared" si="136"/>
        <v>0</v>
      </c>
      <c r="AA179" s="635">
        <v>1</v>
      </c>
      <c r="AB179" s="638">
        <f t="shared" si="140"/>
        <v>0</v>
      </c>
      <c r="AC179" s="636" t="e">
        <f t="shared" si="141"/>
        <v>#DIV/0!</v>
      </c>
      <c r="AD179" s="292">
        <f t="shared" si="142"/>
        <v>0</v>
      </c>
      <c r="AE179" s="607" t="s">
        <v>61</v>
      </c>
      <c r="AF179" s="211"/>
    </row>
    <row r="180" spans="1:32" s="112" customFormat="1" ht="15" hidden="1" customHeight="1" x14ac:dyDescent="0.25">
      <c r="B180" s="325" t="s">
        <v>330</v>
      </c>
      <c r="C180" s="317"/>
      <c r="D180" s="324" t="s">
        <v>60</v>
      </c>
      <c r="E180" s="317"/>
      <c r="F180" s="608">
        <v>0</v>
      </c>
      <c r="G180" s="317"/>
      <c r="H180" s="324"/>
      <c r="I180" s="317"/>
      <c r="J180" s="322"/>
      <c r="K180" s="322"/>
      <c r="L180" s="323"/>
      <c r="M180" s="323"/>
      <c r="N180" s="323"/>
      <c r="O180" s="323"/>
      <c r="P180" s="322">
        <v>1</v>
      </c>
      <c r="Q180" s="322"/>
      <c r="R180" s="327">
        <f t="shared" si="137"/>
        <v>0.2857142857142857</v>
      </c>
      <c r="S180" s="322"/>
      <c r="T180" s="320">
        <f t="shared" si="143"/>
        <v>0</v>
      </c>
      <c r="U180" s="317"/>
      <c r="V180" s="320">
        <f t="shared" si="138"/>
        <v>0</v>
      </c>
      <c r="W180" s="320"/>
      <c r="X180" s="349">
        <f t="shared" si="139"/>
        <v>0</v>
      </c>
      <c r="Y180" s="477"/>
      <c r="Z180" s="290">
        <f t="shared" si="136"/>
        <v>0</v>
      </c>
      <c r="AA180" s="635">
        <v>1</v>
      </c>
      <c r="AB180" s="638">
        <f t="shared" si="140"/>
        <v>0</v>
      </c>
      <c r="AC180" s="636" t="e">
        <f t="shared" si="141"/>
        <v>#DIV/0!</v>
      </c>
      <c r="AD180" s="292">
        <f t="shared" si="142"/>
        <v>0</v>
      </c>
      <c r="AE180" s="607" t="s">
        <v>61</v>
      </c>
    </row>
    <row r="181" spans="1:32" s="112" customFormat="1" ht="15" hidden="1" customHeight="1" x14ac:dyDescent="0.25">
      <c r="B181" s="325" t="s">
        <v>331</v>
      </c>
      <c r="C181" s="318"/>
      <c r="D181" s="324" t="s">
        <v>60</v>
      </c>
      <c r="E181" s="317"/>
      <c r="F181" s="608">
        <v>0</v>
      </c>
      <c r="G181" s="317"/>
      <c r="H181" s="324"/>
      <c r="I181" s="317"/>
      <c r="J181" s="162"/>
      <c r="K181" s="322"/>
      <c r="L181" s="323"/>
      <c r="M181" s="323"/>
      <c r="N181" s="323"/>
      <c r="O181" s="323"/>
      <c r="P181" s="322">
        <v>1</v>
      </c>
      <c r="Q181" s="322"/>
      <c r="R181" s="327">
        <f t="shared" si="137"/>
        <v>0.2857142857142857</v>
      </c>
      <c r="S181" s="322"/>
      <c r="T181" s="320">
        <f t="shared" si="143"/>
        <v>0</v>
      </c>
      <c r="U181" s="317"/>
      <c r="V181" s="320">
        <f t="shared" si="138"/>
        <v>0</v>
      </c>
      <c r="W181" s="320"/>
      <c r="X181" s="349">
        <f t="shared" si="139"/>
        <v>0</v>
      </c>
      <c r="Y181" s="477"/>
      <c r="Z181" s="290">
        <f t="shared" si="136"/>
        <v>0</v>
      </c>
      <c r="AA181" s="635">
        <v>1</v>
      </c>
      <c r="AB181" s="638">
        <f t="shared" si="140"/>
        <v>0</v>
      </c>
      <c r="AC181" s="636" t="e">
        <f t="shared" si="141"/>
        <v>#DIV/0!</v>
      </c>
      <c r="AD181" s="292">
        <f t="shared" si="142"/>
        <v>0</v>
      </c>
      <c r="AE181" s="607" t="s">
        <v>61</v>
      </c>
      <c r="AF181" s="211"/>
    </row>
    <row r="182" spans="1:32" s="112" customFormat="1" ht="15" hidden="1" customHeight="1" x14ac:dyDescent="0.25">
      <c r="B182" s="325" t="s">
        <v>272</v>
      </c>
      <c r="C182" s="318"/>
      <c r="D182" s="324" t="s">
        <v>60</v>
      </c>
      <c r="E182" s="317"/>
      <c r="F182" s="608">
        <v>0</v>
      </c>
      <c r="G182" s="317"/>
      <c r="H182" s="324"/>
      <c r="I182" s="317"/>
      <c r="J182" s="162"/>
      <c r="K182" s="322"/>
      <c r="L182" s="323"/>
      <c r="M182" s="323"/>
      <c r="N182" s="323"/>
      <c r="O182" s="323"/>
      <c r="P182" s="322">
        <v>3</v>
      </c>
      <c r="Q182" s="322"/>
      <c r="R182" s="327">
        <f t="shared" si="137"/>
        <v>0.8571428571428571</v>
      </c>
      <c r="S182" s="322"/>
      <c r="T182" s="320">
        <f t="shared" si="143"/>
        <v>0</v>
      </c>
      <c r="U182" s="317"/>
      <c r="V182" s="320">
        <f t="shared" si="138"/>
        <v>0</v>
      </c>
      <c r="W182" s="320"/>
      <c r="X182" s="349">
        <f t="shared" si="139"/>
        <v>0</v>
      </c>
      <c r="Y182" s="477"/>
      <c r="Z182" s="290">
        <f t="shared" si="136"/>
        <v>0</v>
      </c>
      <c r="AA182" s="635">
        <v>1</v>
      </c>
      <c r="AB182" s="638">
        <f t="shared" si="140"/>
        <v>0</v>
      </c>
      <c r="AC182" s="636" t="e">
        <f t="shared" si="141"/>
        <v>#DIV/0!</v>
      </c>
      <c r="AD182" s="292">
        <f t="shared" si="142"/>
        <v>0</v>
      </c>
      <c r="AE182" s="607" t="s">
        <v>61</v>
      </c>
      <c r="AF182" s="211"/>
    </row>
    <row r="183" spans="1:32" s="112" customFormat="1" ht="15" hidden="1" customHeight="1" x14ac:dyDescent="0.25">
      <c r="B183" s="325" t="s">
        <v>18</v>
      </c>
      <c r="C183" s="318"/>
      <c r="D183" s="324" t="s">
        <v>60</v>
      </c>
      <c r="E183" s="317"/>
      <c r="F183" s="608">
        <v>0</v>
      </c>
      <c r="G183" s="317"/>
      <c r="H183" s="324"/>
      <c r="I183" s="317"/>
      <c r="J183" s="162"/>
      <c r="K183" s="322"/>
      <c r="L183" s="323"/>
      <c r="M183" s="323"/>
      <c r="N183" s="323"/>
      <c r="O183" s="323"/>
      <c r="P183" s="322">
        <v>0</v>
      </c>
      <c r="Q183" s="322"/>
      <c r="R183" s="327">
        <f t="shared" si="137"/>
        <v>0</v>
      </c>
      <c r="S183" s="322"/>
      <c r="T183" s="320">
        <f t="shared" si="143"/>
        <v>0</v>
      </c>
      <c r="U183" s="317"/>
      <c r="V183" s="320">
        <f t="shared" si="138"/>
        <v>0</v>
      </c>
      <c r="W183" s="320"/>
      <c r="X183" s="349">
        <f t="shared" si="139"/>
        <v>0</v>
      </c>
      <c r="Y183" s="477"/>
      <c r="Z183" s="290">
        <f t="shared" si="136"/>
        <v>0</v>
      </c>
      <c r="AA183" s="635">
        <v>1</v>
      </c>
      <c r="AB183" s="638">
        <f t="shared" si="140"/>
        <v>0</v>
      </c>
      <c r="AC183" s="636" t="e">
        <f t="shared" si="141"/>
        <v>#DIV/0!</v>
      </c>
      <c r="AD183" s="292">
        <f t="shared" si="142"/>
        <v>0</v>
      </c>
      <c r="AE183" s="607" t="s">
        <v>61</v>
      </c>
      <c r="AF183" s="211"/>
    </row>
    <row r="184" spans="1:32" s="112" customFormat="1" ht="15" hidden="1" customHeight="1" x14ac:dyDescent="0.25">
      <c r="B184" s="325" t="s">
        <v>20</v>
      </c>
      <c r="C184" s="317"/>
      <c r="D184" s="324" t="s">
        <v>60</v>
      </c>
      <c r="E184" s="317"/>
      <c r="F184" s="608">
        <v>0</v>
      </c>
      <c r="G184" s="317"/>
      <c r="H184" s="324"/>
      <c r="I184" s="317"/>
      <c r="J184" s="322"/>
      <c r="K184" s="322"/>
      <c r="L184" s="323"/>
      <c r="M184" s="323"/>
      <c r="N184" s="323"/>
      <c r="O184" s="323"/>
      <c r="P184" s="322">
        <v>0</v>
      </c>
      <c r="Q184" s="322"/>
      <c r="R184" s="327">
        <f t="shared" si="137"/>
        <v>0</v>
      </c>
      <c r="S184" s="322"/>
      <c r="T184" s="320">
        <f t="shared" si="143"/>
        <v>0</v>
      </c>
      <c r="U184" s="317"/>
      <c r="V184" s="320">
        <f t="shared" si="138"/>
        <v>0</v>
      </c>
      <c r="W184" s="320"/>
      <c r="X184" s="349">
        <f t="shared" si="139"/>
        <v>0</v>
      </c>
      <c r="Y184" s="477"/>
      <c r="Z184" s="290">
        <f t="shared" si="136"/>
        <v>0</v>
      </c>
      <c r="AA184" s="635">
        <v>1</v>
      </c>
      <c r="AB184" s="638">
        <f t="shared" si="140"/>
        <v>0</v>
      </c>
      <c r="AC184" s="636" t="e">
        <f t="shared" si="141"/>
        <v>#DIV/0!</v>
      </c>
      <c r="AD184" s="292">
        <f t="shared" si="142"/>
        <v>0</v>
      </c>
      <c r="AE184" s="607" t="s">
        <v>61</v>
      </c>
    </row>
    <row r="185" spans="1:32" s="112" customFormat="1" ht="15" hidden="1" customHeight="1" x14ac:dyDescent="0.25">
      <c r="B185" s="325" t="s">
        <v>19</v>
      </c>
      <c r="C185" s="318"/>
      <c r="D185" s="324" t="s">
        <v>60</v>
      </c>
      <c r="E185" s="317"/>
      <c r="F185" s="608">
        <v>0</v>
      </c>
      <c r="G185" s="317"/>
      <c r="H185" s="324"/>
      <c r="I185" s="317"/>
      <c r="J185" s="162"/>
      <c r="K185" s="322"/>
      <c r="L185" s="323"/>
      <c r="M185" s="323"/>
      <c r="N185" s="323"/>
      <c r="O185" s="323"/>
      <c r="P185" s="322">
        <v>150</v>
      </c>
      <c r="Q185" s="322"/>
      <c r="R185" s="327">
        <f t="shared" si="137"/>
        <v>42.857142857142854</v>
      </c>
      <c r="S185" s="322"/>
      <c r="T185" s="320">
        <f t="shared" si="143"/>
        <v>0</v>
      </c>
      <c r="U185" s="317"/>
      <c r="V185" s="320">
        <f t="shared" si="138"/>
        <v>0</v>
      </c>
      <c r="W185" s="320"/>
      <c r="X185" s="349">
        <f t="shared" si="139"/>
        <v>0</v>
      </c>
      <c r="Y185" s="477"/>
      <c r="Z185" s="290">
        <f t="shared" si="136"/>
        <v>0</v>
      </c>
      <c r="AA185" s="635">
        <v>1</v>
      </c>
      <c r="AB185" s="638">
        <f t="shared" si="140"/>
        <v>0</v>
      </c>
      <c r="AC185" s="636" t="e">
        <f t="shared" si="141"/>
        <v>#DIV/0!</v>
      </c>
      <c r="AD185" s="292">
        <f t="shared" si="142"/>
        <v>0</v>
      </c>
      <c r="AE185" s="607" t="s">
        <v>61</v>
      </c>
      <c r="AF185" s="211"/>
    </row>
    <row r="186" spans="1:32" s="112" customFormat="1" ht="15" hidden="1" customHeight="1" x14ac:dyDescent="0.25">
      <c r="B186" s="325" t="s">
        <v>332</v>
      </c>
      <c r="C186" s="318"/>
      <c r="D186" s="324" t="s">
        <v>60</v>
      </c>
      <c r="E186" s="317"/>
      <c r="F186" s="608">
        <v>0</v>
      </c>
      <c r="G186" s="317"/>
      <c r="H186" s="324"/>
      <c r="I186" s="317"/>
      <c r="J186" s="162"/>
      <c r="K186" s="322"/>
      <c r="L186" s="323"/>
      <c r="M186" s="323"/>
      <c r="N186" s="323"/>
      <c r="O186" s="323"/>
      <c r="P186" s="322">
        <v>1</v>
      </c>
      <c r="Q186" s="322"/>
      <c r="R186" s="327">
        <f>P186/$V$6</f>
        <v>0.2857142857142857</v>
      </c>
      <c r="S186" s="322"/>
      <c r="T186" s="320">
        <f t="shared" si="143"/>
        <v>0</v>
      </c>
      <c r="U186" s="317"/>
      <c r="V186" s="320">
        <f>T186/$V$6</f>
        <v>0</v>
      </c>
      <c r="W186" s="320"/>
      <c r="X186" s="349">
        <f>V186/$V$3</f>
        <v>0</v>
      </c>
      <c r="Y186" s="477"/>
      <c r="Z186" s="290">
        <f t="shared" si="136"/>
        <v>0</v>
      </c>
      <c r="AA186" s="635">
        <v>0.5</v>
      </c>
      <c r="AB186" s="638">
        <f t="shared" si="140"/>
        <v>0</v>
      </c>
      <c r="AC186" s="636" t="e">
        <f t="shared" si="141"/>
        <v>#DIV/0!</v>
      </c>
      <c r="AD186" s="292">
        <f t="shared" si="142"/>
        <v>0</v>
      </c>
      <c r="AE186" s="607" t="s">
        <v>61</v>
      </c>
      <c r="AF186" s="211"/>
    </row>
    <row r="187" spans="1:32" s="112" customFormat="1" ht="15" hidden="1" customHeight="1" x14ac:dyDescent="0.25">
      <c r="B187" s="325" t="s">
        <v>284</v>
      </c>
      <c r="C187" s="318"/>
      <c r="D187" s="324" t="s">
        <v>60</v>
      </c>
      <c r="E187" s="317"/>
      <c r="F187" s="608">
        <v>0</v>
      </c>
      <c r="G187" s="317"/>
      <c r="H187" s="324"/>
      <c r="I187" s="317"/>
      <c r="J187" s="162"/>
      <c r="K187" s="322"/>
      <c r="L187" s="323"/>
      <c r="M187" s="323"/>
      <c r="N187" s="323"/>
      <c r="O187" s="323"/>
      <c r="P187" s="322">
        <v>2</v>
      </c>
      <c r="Q187" s="322"/>
      <c r="R187" s="327">
        <f>P187/$V$6</f>
        <v>0.5714285714285714</v>
      </c>
      <c r="S187" s="322"/>
      <c r="T187" s="320">
        <f t="shared" si="143"/>
        <v>0</v>
      </c>
      <c r="U187" s="317"/>
      <c r="V187" s="320">
        <f>T187/$V$6</f>
        <v>0</v>
      </c>
      <c r="W187" s="320"/>
      <c r="X187" s="349">
        <f>V187/$V$3</f>
        <v>0</v>
      </c>
      <c r="Y187" s="477"/>
      <c r="Z187" s="290">
        <f t="shared" si="136"/>
        <v>0</v>
      </c>
      <c r="AA187" s="635">
        <v>1</v>
      </c>
      <c r="AB187" s="638">
        <f t="shared" si="140"/>
        <v>0</v>
      </c>
      <c r="AC187" s="636" t="e">
        <f t="shared" si="141"/>
        <v>#DIV/0!</v>
      </c>
      <c r="AD187" s="292">
        <f t="shared" si="142"/>
        <v>0</v>
      </c>
      <c r="AE187" s="607" t="s">
        <v>61</v>
      </c>
      <c r="AF187" s="211"/>
    </row>
    <row r="188" spans="1:32" s="112" customFormat="1" ht="15" hidden="1" customHeight="1" x14ac:dyDescent="0.25">
      <c r="B188" s="325" t="s">
        <v>270</v>
      </c>
      <c r="C188" s="318"/>
      <c r="D188" s="324" t="s">
        <v>60</v>
      </c>
      <c r="E188" s="317"/>
      <c r="F188" s="608">
        <v>0</v>
      </c>
      <c r="G188" s="317"/>
      <c r="H188" s="324"/>
      <c r="I188" s="317"/>
      <c r="J188" s="162"/>
      <c r="K188" s="322"/>
      <c r="L188" s="323"/>
      <c r="M188" s="323"/>
      <c r="N188" s="323"/>
      <c r="O188" s="323"/>
      <c r="P188" s="322">
        <v>1.5</v>
      </c>
      <c r="Q188" s="322"/>
      <c r="R188" s="327">
        <f t="shared" si="137"/>
        <v>0.42857142857142855</v>
      </c>
      <c r="S188" s="322"/>
      <c r="T188" s="320">
        <f t="shared" si="143"/>
        <v>0</v>
      </c>
      <c r="U188" s="317"/>
      <c r="V188" s="320">
        <f t="shared" si="138"/>
        <v>0</v>
      </c>
      <c r="W188" s="320"/>
      <c r="X188" s="349">
        <f t="shared" si="139"/>
        <v>0</v>
      </c>
      <c r="Y188" s="477"/>
      <c r="Z188" s="290">
        <f t="shared" si="136"/>
        <v>0</v>
      </c>
      <c r="AA188" s="635">
        <v>1</v>
      </c>
      <c r="AB188" s="638">
        <f t="shared" si="140"/>
        <v>0</v>
      </c>
      <c r="AC188" s="636" t="e">
        <f t="shared" si="141"/>
        <v>#DIV/0!</v>
      </c>
      <c r="AD188" s="292">
        <f t="shared" si="142"/>
        <v>0</v>
      </c>
      <c r="AE188" s="607" t="s">
        <v>61</v>
      </c>
      <c r="AF188" s="211"/>
    </row>
    <row r="189" spans="1:32" s="112" customFormat="1" ht="15" hidden="1" customHeight="1" thickBot="1" x14ac:dyDescent="0.3">
      <c r="A189" s="112" t="s">
        <v>289</v>
      </c>
      <c r="B189" s="190" t="s">
        <v>62</v>
      </c>
      <c r="C189" s="318"/>
      <c r="D189" s="324"/>
      <c r="E189" s="317"/>
      <c r="F189" s="608"/>
      <c r="G189" s="317"/>
      <c r="H189" s="324"/>
      <c r="I189" s="317"/>
      <c r="J189" s="322"/>
      <c r="K189" s="322"/>
      <c r="L189" s="323"/>
      <c r="M189" s="323"/>
      <c r="N189" s="323"/>
      <c r="O189" s="323"/>
      <c r="P189" s="322"/>
      <c r="Q189" s="157"/>
      <c r="R189" s="157"/>
      <c r="S189" s="157"/>
      <c r="T189" s="544">
        <f>SUM(T178:T188)</f>
        <v>0</v>
      </c>
      <c r="U189" s="131"/>
      <c r="V189" s="544">
        <f>SUM(V178:V188)</f>
        <v>0</v>
      </c>
      <c r="W189" s="132"/>
      <c r="X189" s="545">
        <f>SUM(X178:X188)</f>
        <v>0</v>
      </c>
      <c r="Y189" s="469"/>
      <c r="Z189" s="290">
        <f t="shared" si="136"/>
        <v>0</v>
      </c>
      <c r="AA189" s="668"/>
      <c r="AB189" s="544">
        <f>SUM(AB178:AB188)</f>
        <v>0</v>
      </c>
      <c r="AC189" s="637"/>
      <c r="AD189" s="544">
        <f>SUM(AD178:AD188)</f>
        <v>0</v>
      </c>
      <c r="AE189" s="607"/>
      <c r="AF189" s="211"/>
    </row>
    <row r="190" spans="1:32" s="112" customFormat="1" ht="15" hidden="1" customHeight="1" x14ac:dyDescent="0.25">
      <c r="B190" s="289"/>
      <c r="C190" s="318"/>
      <c r="D190" s="324"/>
      <c r="E190" s="100"/>
      <c r="F190" s="608"/>
      <c r="G190" s="94"/>
      <c r="H190" s="324"/>
      <c r="I190" s="100"/>
      <c r="J190" s="162"/>
      <c r="K190" s="164"/>
      <c r="L190" s="323"/>
      <c r="M190" s="323"/>
      <c r="N190" s="166"/>
      <c r="O190" s="323"/>
      <c r="P190" s="322"/>
      <c r="Q190" s="157"/>
      <c r="R190" s="157"/>
      <c r="S190" s="157"/>
      <c r="T190" s="529"/>
      <c r="U190" s="131"/>
      <c r="V190" s="529"/>
      <c r="W190" s="475"/>
      <c r="X190" s="538"/>
      <c r="Y190" s="469"/>
      <c r="Z190" s="290"/>
      <c r="AA190" s="94"/>
      <c r="AB190" s="648"/>
      <c r="AC190" s="94"/>
      <c r="AD190" s="94"/>
      <c r="AE190" s="607"/>
      <c r="AF190" s="211"/>
    </row>
    <row r="191" spans="1:32" s="112" customFormat="1" ht="15" hidden="1" customHeight="1" x14ac:dyDescent="0.25">
      <c r="B191" s="187" t="s">
        <v>280</v>
      </c>
      <c r="C191" s="318"/>
      <c r="D191" s="324"/>
      <c r="E191" s="317"/>
      <c r="F191" s="608"/>
      <c r="G191" s="317"/>
      <c r="H191" s="324"/>
      <c r="I191" s="317"/>
      <c r="J191" s="322"/>
      <c r="K191" s="322"/>
      <c r="L191" s="323"/>
      <c r="M191" s="323"/>
      <c r="N191" s="323"/>
      <c r="O191" s="323"/>
      <c r="P191" s="322"/>
      <c r="Q191" s="322"/>
      <c r="R191" s="322"/>
      <c r="S191" s="322"/>
      <c r="T191" s="110"/>
      <c r="U191" s="317"/>
      <c r="V191" s="110"/>
      <c r="W191" s="320"/>
      <c r="X191" s="349"/>
      <c r="Y191" s="477"/>
      <c r="Z191" s="290"/>
      <c r="AA191" s="94"/>
      <c r="AB191" s="648"/>
      <c r="AC191" s="94"/>
      <c r="AD191" s="94"/>
      <c r="AE191" s="607"/>
      <c r="AF191" s="211"/>
    </row>
    <row r="192" spans="1:32" s="112" customFormat="1" ht="15" hidden="1" customHeight="1" x14ac:dyDescent="0.25">
      <c r="B192" s="325" t="s">
        <v>281</v>
      </c>
      <c r="C192" s="318"/>
      <c r="D192" s="324" t="s">
        <v>63</v>
      </c>
      <c r="E192" s="317"/>
      <c r="F192" s="608">
        <v>0</v>
      </c>
      <c r="G192" s="317"/>
      <c r="H192" s="324"/>
      <c r="I192" s="317"/>
      <c r="J192" s="322"/>
      <c r="K192" s="322"/>
      <c r="L192" s="323"/>
      <c r="M192" s="323"/>
      <c r="N192" s="323"/>
      <c r="O192" s="323"/>
      <c r="P192" s="322">
        <v>0.4</v>
      </c>
      <c r="Q192" s="322"/>
      <c r="R192" s="327">
        <f>P192/$V$6</f>
        <v>0.1142857142857143</v>
      </c>
      <c r="S192" s="322"/>
      <c r="T192" s="320">
        <f>IF(N192=0,IF(J192=0,F192*P192,F192*J192*P192),F192*J192*N192*P192)</f>
        <v>0</v>
      </c>
      <c r="U192" s="317"/>
      <c r="V192" s="320">
        <f>T192/$V$6</f>
        <v>0</v>
      </c>
      <c r="W192" s="320"/>
      <c r="X192" s="349">
        <f>V192/$V$3</f>
        <v>0</v>
      </c>
      <c r="Y192" s="477"/>
      <c r="Z192" s="290">
        <f t="shared" ref="Z192:Z198" si="144">V192/$V$601</f>
        <v>0</v>
      </c>
      <c r="AA192" s="635">
        <v>1</v>
      </c>
      <c r="AB192" s="638">
        <f>+W192+V192*AA192</f>
        <v>0</v>
      </c>
      <c r="AC192" s="636" t="e">
        <f t="shared" ref="AC192:AC196" si="145">+AD192/V192</f>
        <v>#DIV/0!</v>
      </c>
      <c r="AD192" s="292">
        <f>+V192-AB192</f>
        <v>0</v>
      </c>
      <c r="AE192" s="607" t="s">
        <v>64</v>
      </c>
      <c r="AF192" s="211"/>
    </row>
    <row r="193" spans="1:32" s="112" customFormat="1" ht="15" hidden="1" customHeight="1" x14ac:dyDescent="0.25">
      <c r="B193" s="325" t="s">
        <v>103</v>
      </c>
      <c r="C193" s="318"/>
      <c r="D193" s="324" t="s">
        <v>104</v>
      </c>
      <c r="E193" s="317"/>
      <c r="F193" s="608">
        <v>0</v>
      </c>
      <c r="G193" s="317"/>
      <c r="H193" s="324"/>
      <c r="I193" s="317"/>
      <c r="J193" s="322"/>
      <c r="K193" s="322"/>
      <c r="L193" s="323"/>
      <c r="M193" s="323"/>
      <c r="N193" s="323"/>
      <c r="O193" s="323"/>
      <c r="P193" s="322">
        <v>5</v>
      </c>
      <c r="Q193" s="322"/>
      <c r="R193" s="327">
        <f>P193/$V$6</f>
        <v>1.4285714285714286</v>
      </c>
      <c r="S193" s="322"/>
      <c r="T193" s="320">
        <f>IF(N193=0,IF(J193=0,F193*P193,F193*J193*P193),F193*J193*N193*P193)</f>
        <v>0</v>
      </c>
      <c r="U193" s="317"/>
      <c r="V193" s="320">
        <f>T193/$V$6</f>
        <v>0</v>
      </c>
      <c r="W193" s="320"/>
      <c r="X193" s="349">
        <f>V193/$V$3</f>
        <v>0</v>
      </c>
      <c r="Y193" s="477"/>
      <c r="Z193" s="290">
        <f t="shared" si="144"/>
        <v>0</v>
      </c>
      <c r="AA193" s="635">
        <v>1</v>
      </c>
      <c r="AB193" s="638">
        <f>+W193+V193*AA193</f>
        <v>0</v>
      </c>
      <c r="AC193" s="636" t="e">
        <f t="shared" si="145"/>
        <v>#DIV/0!</v>
      </c>
      <c r="AD193" s="292">
        <f>+V193-AB193</f>
        <v>0</v>
      </c>
      <c r="AE193" s="607" t="s">
        <v>64</v>
      </c>
      <c r="AF193" s="211"/>
    </row>
    <row r="194" spans="1:32" s="112" customFormat="1" ht="15" hidden="1" customHeight="1" x14ac:dyDescent="0.25">
      <c r="B194" s="325" t="s">
        <v>333</v>
      </c>
      <c r="C194" s="318"/>
      <c r="D194" s="324" t="s">
        <v>63</v>
      </c>
      <c r="E194" s="317"/>
      <c r="F194" s="608">
        <v>0</v>
      </c>
      <c r="G194" s="317"/>
      <c r="H194" s="324"/>
      <c r="I194" s="317"/>
      <c r="J194" s="322"/>
      <c r="K194" s="322"/>
      <c r="L194" s="323"/>
      <c r="M194" s="323"/>
      <c r="N194" s="323"/>
      <c r="O194" s="323"/>
      <c r="P194" s="322">
        <v>0.4</v>
      </c>
      <c r="Q194" s="322"/>
      <c r="R194" s="327">
        <f>P194/$V$6</f>
        <v>0.1142857142857143</v>
      </c>
      <c r="S194" s="322"/>
      <c r="T194" s="320">
        <f>IF(N194=0,IF(J194=0,F194*P194,F194*J194*P194),F194*J194*N194*P194)</f>
        <v>0</v>
      </c>
      <c r="U194" s="317"/>
      <c r="V194" s="320">
        <f>T194/$V$6</f>
        <v>0</v>
      </c>
      <c r="W194" s="320"/>
      <c r="X194" s="349">
        <f>V194/$V$3</f>
        <v>0</v>
      </c>
      <c r="Y194" s="477"/>
      <c r="Z194" s="290">
        <f t="shared" si="144"/>
        <v>0</v>
      </c>
      <c r="AA194" s="635">
        <v>1</v>
      </c>
      <c r="AB194" s="638">
        <f>+W194+V194*AA194</f>
        <v>0</v>
      </c>
      <c r="AC194" s="636" t="e">
        <f t="shared" si="145"/>
        <v>#DIV/0!</v>
      </c>
      <c r="AD194" s="292">
        <f>+V194-AB194</f>
        <v>0</v>
      </c>
      <c r="AE194" s="607" t="s">
        <v>64</v>
      </c>
      <c r="AF194" s="211"/>
    </row>
    <row r="195" spans="1:32" s="112" customFormat="1" ht="15" hidden="1" customHeight="1" x14ac:dyDescent="0.25">
      <c r="B195" s="325" t="s">
        <v>128</v>
      </c>
      <c r="C195" s="317"/>
      <c r="D195" s="324" t="s">
        <v>50</v>
      </c>
      <c r="E195" s="317"/>
      <c r="F195" s="608">
        <v>0</v>
      </c>
      <c r="G195" s="317"/>
      <c r="H195" s="324" t="s">
        <v>195</v>
      </c>
      <c r="I195" s="317"/>
      <c r="J195" s="327">
        <v>6</v>
      </c>
      <c r="K195" s="322"/>
      <c r="L195" s="324"/>
      <c r="M195" s="323"/>
      <c r="N195" s="323"/>
      <c r="O195" s="323"/>
      <c r="P195" s="322">
        <v>5</v>
      </c>
      <c r="Q195" s="322"/>
      <c r="R195" s="327">
        <f>P195/$V$6</f>
        <v>1.4285714285714286</v>
      </c>
      <c r="S195" s="322"/>
      <c r="T195" s="320">
        <f>IF(N195=0,IF(J195=0,F195*P195,F195*J195*P195),F195*J195*N195*P195)</f>
        <v>0</v>
      </c>
      <c r="U195" s="317"/>
      <c r="V195" s="320">
        <f>T195/$V$6</f>
        <v>0</v>
      </c>
      <c r="W195" s="320"/>
      <c r="X195" s="349">
        <f>V195/$V$3</f>
        <v>0</v>
      </c>
      <c r="Y195" s="477"/>
      <c r="Z195" s="290">
        <f t="shared" si="144"/>
        <v>0</v>
      </c>
      <c r="AA195" s="635">
        <v>1</v>
      </c>
      <c r="AB195" s="638">
        <f>+W195+V195*AA195</f>
        <v>0</v>
      </c>
      <c r="AC195" s="636" t="e">
        <f t="shared" si="145"/>
        <v>#DIV/0!</v>
      </c>
      <c r="AD195" s="292">
        <f>+V195-AB195</f>
        <v>0</v>
      </c>
      <c r="AE195" s="607" t="s">
        <v>64</v>
      </c>
    </row>
    <row r="196" spans="1:32" s="112" customFormat="1" ht="15" hidden="1" customHeight="1" x14ac:dyDescent="0.25">
      <c r="B196" s="325" t="s">
        <v>129</v>
      </c>
      <c r="C196" s="317"/>
      <c r="D196" s="324" t="s">
        <v>50</v>
      </c>
      <c r="E196" s="317"/>
      <c r="F196" s="608">
        <v>0</v>
      </c>
      <c r="G196" s="317"/>
      <c r="H196" s="324" t="s">
        <v>195</v>
      </c>
      <c r="I196" s="317"/>
      <c r="J196" s="327">
        <v>6</v>
      </c>
      <c r="K196" s="322"/>
      <c r="L196" s="324"/>
      <c r="M196" s="323"/>
      <c r="N196" s="323"/>
      <c r="O196" s="323"/>
      <c r="P196" s="322">
        <v>10</v>
      </c>
      <c r="Q196" s="322"/>
      <c r="R196" s="327">
        <f>P196/$V$6</f>
        <v>2.8571428571428572</v>
      </c>
      <c r="S196" s="322"/>
      <c r="T196" s="320">
        <f>IF(N196=0,IF(J196=0,F196*P196,F196*J196*P196),F196*J196*N196*P196)</f>
        <v>0</v>
      </c>
      <c r="U196" s="317"/>
      <c r="V196" s="320">
        <f>T196/$V$6</f>
        <v>0</v>
      </c>
      <c r="W196" s="320"/>
      <c r="X196" s="349">
        <f>V196/$V$3</f>
        <v>0</v>
      </c>
      <c r="Y196" s="477"/>
      <c r="Z196" s="290">
        <f t="shared" si="144"/>
        <v>0</v>
      </c>
      <c r="AA196" s="635">
        <v>1</v>
      </c>
      <c r="AB196" s="638">
        <f>+W196+V196*AA196</f>
        <v>0</v>
      </c>
      <c r="AC196" s="636" t="e">
        <f t="shared" si="145"/>
        <v>#DIV/0!</v>
      </c>
      <c r="AD196" s="292">
        <f>+V196-AB196</f>
        <v>0</v>
      </c>
      <c r="AE196" s="607" t="s">
        <v>64</v>
      </c>
    </row>
    <row r="197" spans="1:32" s="112" customFormat="1" ht="15" hidden="1" customHeight="1" thickBot="1" x14ac:dyDescent="0.3">
      <c r="A197" s="112" t="s">
        <v>290</v>
      </c>
      <c r="B197" s="189" t="s">
        <v>65</v>
      </c>
      <c r="C197" s="318"/>
      <c r="D197" s="546"/>
      <c r="F197" s="798"/>
      <c r="H197" s="546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544">
        <f>SUM(T192:T196)</f>
        <v>0</v>
      </c>
      <c r="U197" s="131"/>
      <c r="V197" s="544">
        <f>SUM(V192:V196)</f>
        <v>0</v>
      </c>
      <c r="W197" s="132"/>
      <c r="X197" s="545">
        <f>SUM(X192:X196)</f>
        <v>0</v>
      </c>
      <c r="Y197" s="539"/>
      <c r="Z197" s="290">
        <f t="shared" si="144"/>
        <v>0</v>
      </c>
      <c r="AA197" s="668"/>
      <c r="AB197" s="544">
        <f>SUM(AB192:AB196)</f>
        <v>0</v>
      </c>
      <c r="AC197" s="637"/>
      <c r="AD197" s="544">
        <f>SUM(AD192:AD196)</f>
        <v>0</v>
      </c>
      <c r="AE197" s="595"/>
      <c r="AF197" s="211"/>
    </row>
    <row r="198" spans="1:32" s="112" customFormat="1" ht="15" hidden="1" customHeight="1" thickBot="1" x14ac:dyDescent="0.3">
      <c r="B198" s="325"/>
      <c r="C198" s="318"/>
      <c r="D198" s="105"/>
      <c r="E198" s="179"/>
      <c r="F198" s="763"/>
      <c r="G198" s="179"/>
      <c r="H198" s="105"/>
      <c r="I198" s="179"/>
      <c r="J198" s="146"/>
      <c r="K198" s="158"/>
      <c r="L198" s="146"/>
      <c r="M198" s="146"/>
      <c r="N198" s="146"/>
      <c r="O198" s="146"/>
      <c r="P198" s="146"/>
      <c r="Q198" s="146"/>
      <c r="R198" s="146"/>
      <c r="S198" s="158"/>
      <c r="T198" s="179"/>
      <c r="U198" s="179"/>
      <c r="V198" s="179"/>
      <c r="W198" s="179"/>
      <c r="X198" s="329"/>
      <c r="Y198" s="179"/>
      <c r="Z198" s="517">
        <f t="shared" si="144"/>
        <v>0</v>
      </c>
      <c r="AA198" s="179"/>
      <c r="AB198" s="639"/>
      <c r="AC198" s="179"/>
      <c r="AD198" s="179"/>
      <c r="AE198" s="612"/>
      <c r="AF198" s="211"/>
    </row>
    <row r="199" spans="1:32" s="595" customFormat="1" ht="15" hidden="1" customHeight="1" x14ac:dyDescent="0.25">
      <c r="A199" s="782"/>
      <c r="B199" s="783"/>
      <c r="C199" s="605"/>
      <c r="D199" s="765"/>
      <c r="E199" s="766"/>
      <c r="G199" s="767"/>
      <c r="H199" s="784"/>
      <c r="I199" s="766"/>
      <c r="J199" s="785"/>
      <c r="K199" s="768"/>
      <c r="L199" s="605"/>
      <c r="M199" s="605"/>
      <c r="N199" s="786"/>
      <c r="O199" s="605"/>
      <c r="P199" s="608"/>
      <c r="Q199" s="787"/>
      <c r="R199" s="787"/>
      <c r="S199" s="787"/>
      <c r="T199" s="788"/>
      <c r="U199" s="789"/>
      <c r="V199" s="788"/>
      <c r="W199" s="790"/>
      <c r="X199" s="791"/>
      <c r="Y199" s="792"/>
      <c r="Z199" s="793"/>
      <c r="AA199" s="767"/>
      <c r="AB199" s="794"/>
      <c r="AC199" s="767"/>
      <c r="AD199" s="767"/>
      <c r="AE199" s="611"/>
      <c r="AF199" s="610"/>
    </row>
    <row r="200" spans="1:32" s="112" customFormat="1" ht="15" hidden="1" customHeight="1" x14ac:dyDescent="0.25">
      <c r="B200" s="177" t="s">
        <v>291</v>
      </c>
      <c r="C200" s="318"/>
      <c r="D200" s="324" t="s">
        <v>135</v>
      </c>
      <c r="E200" s="100"/>
      <c r="F200" s="608"/>
      <c r="G200" s="94"/>
      <c r="H200" s="324"/>
      <c r="I200" s="100"/>
      <c r="J200" s="162"/>
      <c r="K200" s="164"/>
      <c r="L200" s="323"/>
      <c r="M200" s="323"/>
      <c r="N200" s="166"/>
      <c r="O200" s="323"/>
      <c r="P200" s="322"/>
      <c r="Q200" s="322"/>
      <c r="R200" s="322"/>
      <c r="S200" s="322"/>
      <c r="T200" s="302"/>
      <c r="U200" s="318"/>
      <c r="V200" s="302"/>
      <c r="W200" s="134"/>
      <c r="X200" s="344"/>
      <c r="Y200" s="240"/>
      <c r="Z200" s="290"/>
      <c r="AA200" s="94"/>
      <c r="AB200" s="648"/>
      <c r="AC200" s="94"/>
      <c r="AD200" s="94"/>
      <c r="AE200" s="607"/>
      <c r="AF200" s="211"/>
    </row>
    <row r="201" spans="1:32" s="112" customFormat="1" ht="15" hidden="1" customHeight="1" x14ac:dyDescent="0.25">
      <c r="B201" s="194" t="s">
        <v>273</v>
      </c>
      <c r="C201" s="318"/>
      <c r="D201" s="324"/>
      <c r="E201" s="100"/>
      <c r="F201" s="608"/>
      <c r="G201" s="94"/>
      <c r="H201" s="324"/>
      <c r="I201" s="100"/>
      <c r="J201" s="162"/>
      <c r="K201" s="164"/>
      <c r="L201" s="323"/>
      <c r="M201" s="323"/>
      <c r="N201" s="166"/>
      <c r="O201" s="323"/>
      <c r="P201" s="322"/>
      <c r="Q201" s="322"/>
      <c r="R201" s="322"/>
      <c r="S201" s="322"/>
      <c r="T201" s="302"/>
      <c r="U201" s="318"/>
      <c r="V201" s="302"/>
      <c r="W201" s="134"/>
      <c r="X201" s="344"/>
      <c r="Y201" s="240"/>
      <c r="Z201" s="290"/>
      <c r="AA201" s="94"/>
      <c r="AB201" s="648"/>
      <c r="AC201" s="94"/>
      <c r="AD201" s="94"/>
      <c r="AE201" s="607"/>
      <c r="AF201" s="211"/>
    </row>
    <row r="202" spans="1:32" s="491" customFormat="1" ht="26.1" hidden="1" customHeight="1" x14ac:dyDescent="0.25">
      <c r="B202" s="178" t="s">
        <v>414</v>
      </c>
      <c r="C202" s="478"/>
      <c r="D202" s="479" t="s">
        <v>50</v>
      </c>
      <c r="E202" s="482"/>
      <c r="F202" s="606">
        <v>0</v>
      </c>
      <c r="G202" s="659"/>
      <c r="H202" s="479" t="s">
        <v>51</v>
      </c>
      <c r="I202" s="482"/>
      <c r="J202" s="481">
        <v>2</v>
      </c>
      <c r="K202" s="541"/>
      <c r="L202" s="479" t="s">
        <v>399</v>
      </c>
      <c r="M202" s="480"/>
      <c r="N202" s="478"/>
      <c r="O202" s="478"/>
      <c r="P202" s="481">
        <f>+'Staff Detail'!D54+'Staff Detail'!B49</f>
        <v>500</v>
      </c>
      <c r="Q202" s="483"/>
      <c r="R202" s="484">
        <f t="shared" ref="R202:R217" si="146">P202/$V$6</f>
        <v>142.85714285714286</v>
      </c>
      <c r="S202" s="483"/>
      <c r="T202" s="485">
        <f t="shared" ref="T202:T217" si="147">IF(N202=0,IF(J202=0,F202*P202,F202*J202*P202),F202*J202*N202*P202)</f>
        <v>0</v>
      </c>
      <c r="U202" s="480"/>
      <c r="V202" s="485">
        <f t="shared" ref="V202:V217" si="148">T202/$V$6</f>
        <v>0</v>
      </c>
      <c r="W202" s="486"/>
      <c r="X202" s="487">
        <f t="shared" ref="X202:X217" si="149">V202/$V$3</f>
        <v>0</v>
      </c>
      <c r="Y202" s="488"/>
      <c r="Z202" s="489">
        <f t="shared" ref="Z202:Z210" si="150">V202/$V$601</f>
        <v>0</v>
      </c>
      <c r="AA202" s="660">
        <v>1</v>
      </c>
      <c r="AB202" s="661">
        <f t="shared" ref="AB202:AB209" si="151">+W202+V202*AA202</f>
        <v>0</v>
      </c>
      <c r="AC202" s="662" t="e">
        <f t="shared" ref="AC202:AC217" si="152">+AD202/V202</f>
        <v>#DIV/0!</v>
      </c>
      <c r="AD202" s="483">
        <f t="shared" ref="AD202:AD209" si="153">+V202-AB202</f>
        <v>0</v>
      </c>
      <c r="AE202" s="480" t="s">
        <v>99</v>
      </c>
      <c r="AF202" s="490"/>
    </row>
    <row r="203" spans="1:32" s="491" customFormat="1" ht="15.95" hidden="1" customHeight="1" x14ac:dyDescent="0.25">
      <c r="B203" s="178" t="s">
        <v>411</v>
      </c>
      <c r="C203" s="478"/>
      <c r="D203" s="479" t="s">
        <v>50</v>
      </c>
      <c r="E203" s="482"/>
      <c r="F203" s="606">
        <v>0</v>
      </c>
      <c r="G203" s="659"/>
      <c r="H203" s="479" t="s">
        <v>51</v>
      </c>
      <c r="I203" s="482"/>
      <c r="J203" s="481">
        <v>2</v>
      </c>
      <c r="K203" s="541"/>
      <c r="L203" s="479"/>
      <c r="M203" s="480"/>
      <c r="N203" s="478"/>
      <c r="O203" s="478"/>
      <c r="P203" s="481">
        <f>+'Staff Detail'!B36</f>
        <v>383.56164383561645</v>
      </c>
      <c r="Q203" s="483"/>
      <c r="R203" s="484">
        <f t="shared" ref="R203" si="154">P203/$V$6</f>
        <v>109.58904109589041</v>
      </c>
      <c r="S203" s="483"/>
      <c r="T203" s="485">
        <f t="shared" ref="T203" si="155">IF(N203=0,IF(J203=0,F203*P203,F203*J203*P203),F203*J203*N203*P203)</f>
        <v>0</v>
      </c>
      <c r="U203" s="480"/>
      <c r="V203" s="485">
        <f t="shared" ref="V203" si="156">T203/$V$6</f>
        <v>0</v>
      </c>
      <c r="W203" s="486"/>
      <c r="X203" s="487">
        <f t="shared" ref="X203" si="157">V203/$V$3</f>
        <v>0</v>
      </c>
      <c r="Y203" s="488"/>
      <c r="Z203" s="489">
        <f t="shared" si="150"/>
        <v>0</v>
      </c>
      <c r="AA203" s="660">
        <v>1</v>
      </c>
      <c r="AB203" s="661">
        <f t="shared" si="151"/>
        <v>0</v>
      </c>
      <c r="AC203" s="662" t="e">
        <f t="shared" ref="AC203" si="158">+AD203/V203</f>
        <v>#DIV/0!</v>
      </c>
      <c r="AD203" s="483">
        <f t="shared" si="153"/>
        <v>0</v>
      </c>
      <c r="AE203" s="480" t="s">
        <v>99</v>
      </c>
      <c r="AF203" s="490"/>
    </row>
    <row r="204" spans="1:32" s="112" customFormat="1" ht="15" hidden="1" customHeight="1" x14ac:dyDescent="0.25">
      <c r="B204" s="178" t="s">
        <v>413</v>
      </c>
      <c r="C204" s="318"/>
      <c r="D204" s="193" t="s">
        <v>50</v>
      </c>
      <c r="E204" s="100"/>
      <c r="F204" s="606">
        <v>0</v>
      </c>
      <c r="G204" s="94"/>
      <c r="H204" s="193" t="s">
        <v>51</v>
      </c>
      <c r="I204" s="100"/>
      <c r="J204" s="321">
        <v>1</v>
      </c>
      <c r="K204" s="164"/>
      <c r="L204" s="193"/>
      <c r="M204" s="317"/>
      <c r="N204" s="323"/>
      <c r="O204" s="323"/>
      <c r="P204" s="321">
        <f>+'Staff Detail'!B29</f>
        <v>222</v>
      </c>
      <c r="Q204" s="322"/>
      <c r="R204" s="327">
        <f t="shared" ref="R204:R207" si="159">P204/$V$6</f>
        <v>63.428571428571431</v>
      </c>
      <c r="S204" s="322"/>
      <c r="T204" s="319">
        <f t="shared" ref="T204:T207" si="160">IF(N204=0,IF(J204=0,F204*P204,F204*J204*P204),F204*J204*N204*P204)</f>
        <v>0</v>
      </c>
      <c r="U204" s="317"/>
      <c r="V204" s="319">
        <f t="shared" ref="V204:V209" si="161">T204/$V$6</f>
        <v>0</v>
      </c>
      <c r="W204" s="320"/>
      <c r="X204" s="337">
        <f t="shared" ref="X204:X207" si="162">V204/$V$3</f>
        <v>0</v>
      </c>
      <c r="Y204" s="167"/>
      <c r="Z204" s="326">
        <f t="shared" si="150"/>
        <v>0</v>
      </c>
      <c r="AA204" s="635">
        <v>1</v>
      </c>
      <c r="AB204" s="638">
        <f t="shared" si="151"/>
        <v>0</v>
      </c>
      <c r="AC204" s="636" t="e">
        <f t="shared" si="152"/>
        <v>#DIV/0!</v>
      </c>
      <c r="AD204" s="292">
        <f t="shared" si="153"/>
        <v>0</v>
      </c>
      <c r="AE204" s="607" t="s">
        <v>99</v>
      </c>
      <c r="AF204" s="211"/>
    </row>
    <row r="205" spans="1:32" s="112" customFormat="1" ht="15" hidden="1" customHeight="1" x14ac:dyDescent="0.25">
      <c r="B205" s="178" t="s">
        <v>422</v>
      </c>
      <c r="C205" s="318"/>
      <c r="D205" s="193" t="s">
        <v>50</v>
      </c>
      <c r="E205" s="100"/>
      <c r="F205" s="606">
        <v>0</v>
      </c>
      <c r="G205" s="94"/>
      <c r="H205" s="193" t="s">
        <v>51</v>
      </c>
      <c r="I205" s="100"/>
      <c r="J205" s="321">
        <v>1</v>
      </c>
      <c r="K205" s="164"/>
      <c r="L205" s="193"/>
      <c r="M205" s="317"/>
      <c r="N205" s="323"/>
      <c r="O205" s="323"/>
      <c r="P205" s="321">
        <f>+'Staff Detail'!B26</f>
        <v>320.96027397260275</v>
      </c>
      <c r="Q205" s="322"/>
      <c r="R205" s="327">
        <f t="shared" ref="R205" si="163">P205/$V$6</f>
        <v>91.702935420743643</v>
      </c>
      <c r="S205" s="322"/>
      <c r="T205" s="319">
        <f t="shared" ref="T205" si="164">IF(N205=0,IF(J205=0,F205*P205,F205*J205*P205),F205*J205*N205*P205)</f>
        <v>0</v>
      </c>
      <c r="U205" s="317"/>
      <c r="V205" s="319">
        <f t="shared" ref="V205" si="165">T205/$V$6</f>
        <v>0</v>
      </c>
      <c r="W205" s="320"/>
      <c r="X205" s="337">
        <f t="shared" ref="X205" si="166">V205/$V$3</f>
        <v>0</v>
      </c>
      <c r="Y205" s="167"/>
      <c r="Z205" s="326">
        <f t="shared" si="150"/>
        <v>0</v>
      </c>
      <c r="AA205" s="635">
        <v>1</v>
      </c>
      <c r="AB205" s="638">
        <f t="shared" si="151"/>
        <v>0</v>
      </c>
      <c r="AC205" s="636" t="e">
        <f t="shared" ref="AC205" si="167">+AD205/V205</f>
        <v>#DIV/0!</v>
      </c>
      <c r="AD205" s="292">
        <f t="shared" si="153"/>
        <v>0</v>
      </c>
      <c r="AE205" s="607" t="s">
        <v>99</v>
      </c>
      <c r="AF205" s="211"/>
    </row>
    <row r="206" spans="1:32" s="491" customFormat="1" ht="15" hidden="1" customHeight="1" x14ac:dyDescent="0.25">
      <c r="B206" s="178" t="s">
        <v>452</v>
      </c>
      <c r="C206" s="478"/>
      <c r="D206" s="479" t="s">
        <v>50</v>
      </c>
      <c r="E206" s="482"/>
      <c r="F206" s="606">
        <v>0</v>
      </c>
      <c r="G206" s="659"/>
      <c r="H206" s="479" t="s">
        <v>51</v>
      </c>
      <c r="I206" s="482"/>
      <c r="J206" s="481">
        <v>1</v>
      </c>
      <c r="K206" s="541"/>
      <c r="L206" s="479"/>
      <c r="M206" s="480"/>
      <c r="N206" s="478"/>
      <c r="O206" s="478"/>
      <c r="P206" s="481">
        <f>+'Staff Detail'!B28</f>
        <v>249.04043835616437</v>
      </c>
      <c r="Q206" s="483"/>
      <c r="R206" s="484">
        <f t="shared" si="159"/>
        <v>71.154410958904108</v>
      </c>
      <c r="S206" s="483"/>
      <c r="T206" s="485">
        <f t="shared" si="160"/>
        <v>0</v>
      </c>
      <c r="U206" s="480"/>
      <c r="V206" s="485">
        <f t="shared" si="161"/>
        <v>0</v>
      </c>
      <c r="W206" s="486"/>
      <c r="X206" s="487">
        <f t="shared" si="162"/>
        <v>0</v>
      </c>
      <c r="Y206" s="488"/>
      <c r="Z206" s="489">
        <f t="shared" si="150"/>
        <v>0</v>
      </c>
      <c r="AA206" s="660">
        <v>1</v>
      </c>
      <c r="AB206" s="661">
        <f t="shared" si="151"/>
        <v>0</v>
      </c>
      <c r="AC206" s="662" t="e">
        <f t="shared" si="152"/>
        <v>#DIV/0!</v>
      </c>
      <c r="AD206" s="483">
        <f t="shared" si="153"/>
        <v>0</v>
      </c>
      <c r="AE206" s="480" t="s">
        <v>99</v>
      </c>
      <c r="AF206" s="490"/>
    </row>
    <row r="207" spans="1:32" s="491" customFormat="1" ht="15" hidden="1" customHeight="1" x14ac:dyDescent="0.25">
      <c r="B207" s="178" t="s">
        <v>241</v>
      </c>
      <c r="C207" s="478"/>
      <c r="D207" s="479" t="s">
        <v>50</v>
      </c>
      <c r="E207" s="482"/>
      <c r="F207" s="606">
        <v>0</v>
      </c>
      <c r="G207" s="659"/>
      <c r="H207" s="479" t="s">
        <v>51</v>
      </c>
      <c r="I207" s="482"/>
      <c r="J207" s="481">
        <v>1</v>
      </c>
      <c r="K207" s="541"/>
      <c r="L207" s="479"/>
      <c r="M207" s="480"/>
      <c r="N207" s="478"/>
      <c r="O207" s="478"/>
      <c r="P207" s="481">
        <f>+'Staff Detail'!B31</f>
        <v>31</v>
      </c>
      <c r="Q207" s="483"/>
      <c r="R207" s="484">
        <f t="shared" si="159"/>
        <v>8.8571428571428577</v>
      </c>
      <c r="S207" s="483"/>
      <c r="T207" s="485">
        <f t="shared" si="160"/>
        <v>0</v>
      </c>
      <c r="U207" s="480"/>
      <c r="V207" s="485">
        <f t="shared" si="161"/>
        <v>0</v>
      </c>
      <c r="W207" s="486"/>
      <c r="X207" s="487">
        <f t="shared" si="162"/>
        <v>0</v>
      </c>
      <c r="Y207" s="488"/>
      <c r="Z207" s="489">
        <f t="shared" si="150"/>
        <v>0</v>
      </c>
      <c r="AA207" s="660">
        <v>1</v>
      </c>
      <c r="AB207" s="661">
        <f t="shared" si="151"/>
        <v>0</v>
      </c>
      <c r="AC207" s="662" t="e">
        <f t="shared" si="152"/>
        <v>#DIV/0!</v>
      </c>
      <c r="AD207" s="483">
        <f t="shared" si="153"/>
        <v>0</v>
      </c>
      <c r="AE207" s="480"/>
      <c r="AF207" s="490"/>
    </row>
    <row r="208" spans="1:32" s="112" customFormat="1" ht="15" hidden="1" customHeight="1" x14ac:dyDescent="0.25">
      <c r="B208" s="178" t="s">
        <v>262</v>
      </c>
      <c r="C208" s="318"/>
      <c r="D208" s="193" t="s">
        <v>50</v>
      </c>
      <c r="E208" s="317"/>
      <c r="F208" s="606">
        <v>0</v>
      </c>
      <c r="G208" s="317"/>
      <c r="H208" s="193" t="s">
        <v>261</v>
      </c>
      <c r="I208" s="100"/>
      <c r="J208" s="321">
        <v>1</v>
      </c>
      <c r="K208" s="322"/>
      <c r="L208" s="193" t="s">
        <v>263</v>
      </c>
      <c r="M208" s="323"/>
      <c r="N208" s="669"/>
      <c r="O208" s="323"/>
      <c r="P208" s="321">
        <v>750</v>
      </c>
      <c r="Q208" s="322"/>
      <c r="R208" s="327">
        <f>P208/$V$6</f>
        <v>214.28571428571428</v>
      </c>
      <c r="S208" s="322"/>
      <c r="T208" s="319">
        <f>IF(N208=0,IF(J208=0,F208*P208,F208*J208*P208),F208*J208*N208*P208)</f>
        <v>0</v>
      </c>
      <c r="U208" s="317"/>
      <c r="V208" s="319">
        <f t="shared" si="161"/>
        <v>0</v>
      </c>
      <c r="W208" s="320"/>
      <c r="X208" s="337">
        <f>V208/$V$3</f>
        <v>0</v>
      </c>
      <c r="Y208" s="167"/>
      <c r="Z208" s="326">
        <f t="shared" si="150"/>
        <v>0</v>
      </c>
      <c r="AA208" s="635">
        <v>0.25</v>
      </c>
      <c r="AB208" s="638">
        <f t="shared" si="151"/>
        <v>0</v>
      </c>
      <c r="AC208" s="636" t="e">
        <f>+AD208/V208</f>
        <v>#DIV/0!</v>
      </c>
      <c r="AD208" s="292">
        <f t="shared" si="153"/>
        <v>0</v>
      </c>
      <c r="AE208" s="607" t="s">
        <v>102</v>
      </c>
      <c r="AF208" s="211"/>
    </row>
    <row r="209" spans="1:32" s="112" customFormat="1" ht="15" hidden="1" customHeight="1" x14ac:dyDescent="0.25">
      <c r="B209" s="178" t="s">
        <v>17</v>
      </c>
      <c r="C209" s="318"/>
      <c r="D209" s="193" t="s">
        <v>98</v>
      </c>
      <c r="E209" s="317"/>
      <c r="F209" s="606">
        <v>0</v>
      </c>
      <c r="G209" s="317"/>
      <c r="H209" s="193" t="s">
        <v>54</v>
      </c>
      <c r="I209" s="100"/>
      <c r="J209" s="321">
        <v>11</v>
      </c>
      <c r="K209" s="164"/>
      <c r="L209" s="193" t="s">
        <v>51</v>
      </c>
      <c r="M209" s="163"/>
      <c r="N209" s="321">
        <v>2</v>
      </c>
      <c r="O209" s="165"/>
      <c r="P209" s="321">
        <v>3.3</v>
      </c>
      <c r="Q209" s="322"/>
      <c r="R209" s="327">
        <f>P209/$V$6</f>
        <v>0.94285714285714284</v>
      </c>
      <c r="S209" s="322"/>
      <c r="T209" s="319">
        <f t="shared" ref="T209" si="168">IF(N209=0,IF(J209=0,F209*P209,F209*J209*P209),F209*J209*N209*P209)</f>
        <v>0</v>
      </c>
      <c r="U209" s="317"/>
      <c r="V209" s="319">
        <f t="shared" si="161"/>
        <v>0</v>
      </c>
      <c r="W209" s="320"/>
      <c r="X209" s="337">
        <f>V209/$V$3</f>
        <v>0</v>
      </c>
      <c r="Y209" s="167"/>
      <c r="Z209" s="326">
        <f t="shared" si="150"/>
        <v>0</v>
      </c>
      <c r="AA209" s="635">
        <v>1</v>
      </c>
      <c r="AB209" s="638">
        <f t="shared" si="151"/>
        <v>0</v>
      </c>
      <c r="AC209" s="636" t="e">
        <f>+AD209/V209</f>
        <v>#DIV/0!</v>
      </c>
      <c r="AD209" s="292">
        <f t="shared" si="153"/>
        <v>0</v>
      </c>
      <c r="AE209" s="611" t="s">
        <v>55</v>
      </c>
      <c r="AF209" s="211"/>
    </row>
    <row r="210" spans="1:32" s="112" customFormat="1" ht="15" hidden="1" customHeight="1" thickBot="1" x14ac:dyDescent="0.3">
      <c r="A210" s="112" t="s">
        <v>292</v>
      </c>
      <c r="B210" s="176" t="s">
        <v>96</v>
      </c>
      <c r="C210" s="318"/>
      <c r="D210" s="324"/>
      <c r="E210" s="317"/>
      <c r="F210" s="608"/>
      <c r="G210" s="317"/>
      <c r="H210" s="324"/>
      <c r="I210" s="317"/>
      <c r="J210" s="162"/>
      <c r="K210" s="322"/>
      <c r="L210" s="323"/>
      <c r="M210" s="323"/>
      <c r="N210" s="166"/>
      <c r="O210" s="323"/>
      <c r="P210" s="322"/>
      <c r="Q210" s="322"/>
      <c r="R210" s="322"/>
      <c r="S210" s="322"/>
      <c r="T210" s="133">
        <f>SUM(T202:T209)</f>
        <v>0</v>
      </c>
      <c r="U210" s="318"/>
      <c r="V210" s="133">
        <f>SUM(V202:V209)</f>
        <v>0</v>
      </c>
      <c r="W210" s="134"/>
      <c r="X210" s="672">
        <f>SUM(X202:X209)</f>
        <v>0</v>
      </c>
      <c r="Y210" s="240"/>
      <c r="Z210" s="286">
        <f t="shared" si="150"/>
        <v>0</v>
      </c>
      <c r="AA210" s="668"/>
      <c r="AB210" s="133">
        <f>SUM(AB202:AB209)</f>
        <v>0</v>
      </c>
      <c r="AC210" s="637"/>
      <c r="AD210" s="133">
        <f>SUM(AD202:AD209)</f>
        <v>0</v>
      </c>
      <c r="AE210" s="607"/>
      <c r="AF210" s="211"/>
    </row>
    <row r="211" spans="1:32" s="112" customFormat="1" ht="15" hidden="1" customHeight="1" x14ac:dyDescent="0.25">
      <c r="B211" s="177"/>
      <c r="C211" s="318"/>
      <c r="D211" s="324"/>
      <c r="E211" s="100"/>
      <c r="F211" s="608"/>
      <c r="G211" s="94"/>
      <c r="H211" s="324"/>
      <c r="I211" s="100"/>
      <c r="J211" s="162"/>
      <c r="K211" s="164"/>
      <c r="L211" s="323"/>
      <c r="M211" s="323"/>
      <c r="N211" s="166"/>
      <c r="O211" s="323"/>
      <c r="P211" s="322"/>
      <c r="Q211" s="322"/>
      <c r="R211" s="322"/>
      <c r="S211" s="322"/>
      <c r="T211" s="302"/>
      <c r="U211" s="318"/>
      <c r="V211" s="302"/>
      <c r="W211" s="134"/>
      <c r="X211" s="344"/>
      <c r="Y211" s="240"/>
      <c r="Z211" s="290"/>
      <c r="AA211" s="677"/>
      <c r="AB211" s="671"/>
      <c r="AC211" s="676"/>
      <c r="AD211" s="671"/>
      <c r="AE211" s="607"/>
      <c r="AF211" s="211"/>
    </row>
    <row r="212" spans="1:32" s="112" customFormat="1" ht="15" hidden="1" customHeight="1" x14ac:dyDescent="0.25">
      <c r="B212" s="194" t="s">
        <v>282</v>
      </c>
      <c r="C212" s="318"/>
      <c r="D212" s="324"/>
      <c r="E212" s="100"/>
      <c r="F212" s="608"/>
      <c r="G212" s="94"/>
      <c r="H212" s="324"/>
      <c r="I212" s="100"/>
      <c r="J212" s="162"/>
      <c r="K212" s="164"/>
      <c r="L212" s="323"/>
      <c r="M212" s="323"/>
      <c r="N212" s="166"/>
      <c r="O212" s="323"/>
      <c r="P212" s="322"/>
      <c r="Q212" s="322"/>
      <c r="R212" s="322"/>
      <c r="S212" s="322"/>
      <c r="T212" s="302"/>
      <c r="U212" s="318"/>
      <c r="V212" s="302"/>
      <c r="W212" s="134"/>
      <c r="X212" s="344"/>
      <c r="Y212" s="240"/>
      <c r="Z212" s="290"/>
      <c r="AA212" s="94"/>
      <c r="AB212" s="648"/>
      <c r="AC212" s="94"/>
      <c r="AD212" s="94"/>
      <c r="AE212" s="607"/>
      <c r="AF212" s="211"/>
    </row>
    <row r="213" spans="1:32" s="112" customFormat="1" ht="15" hidden="1" customHeight="1" x14ac:dyDescent="0.25">
      <c r="B213" s="178" t="s">
        <v>253</v>
      </c>
      <c r="C213" s="318"/>
      <c r="D213" s="193" t="s">
        <v>268</v>
      </c>
      <c r="E213" s="100"/>
      <c r="F213" s="606">
        <v>0</v>
      </c>
      <c r="G213" s="94"/>
      <c r="H213" s="193" t="s">
        <v>400</v>
      </c>
      <c r="I213" s="100"/>
      <c r="J213" s="481">
        <v>3</v>
      </c>
      <c r="K213" s="164"/>
      <c r="L213" s="193"/>
      <c r="M213" s="317"/>
      <c r="N213" s="323"/>
      <c r="O213" s="323"/>
      <c r="P213" s="321">
        <v>30</v>
      </c>
      <c r="Q213" s="322"/>
      <c r="R213" s="327">
        <f t="shared" ref="R213:R214" si="169">P213/$V$6</f>
        <v>8.5714285714285712</v>
      </c>
      <c r="S213" s="322"/>
      <c r="T213" s="319">
        <f t="shared" ref="T213:T214" si="170">IF(N213=0,IF(J213=0,F213*P213,F213*J213*P213),F213*J213*N213*P213)</f>
        <v>0</v>
      </c>
      <c r="U213" s="317"/>
      <c r="V213" s="319">
        <f t="shared" ref="V213:V214" si="171">T213/$V$6</f>
        <v>0</v>
      </c>
      <c r="W213" s="320"/>
      <c r="X213" s="337">
        <f t="shared" ref="X213:X214" si="172">V213/$V$3</f>
        <v>0</v>
      </c>
      <c r="Y213" s="167"/>
      <c r="Z213" s="326">
        <f t="shared" ref="Z213:Z218" si="173">V213/$V$601</f>
        <v>0</v>
      </c>
      <c r="AA213" s="635">
        <v>1</v>
      </c>
      <c r="AB213" s="638">
        <f>+W213+V213*AA213</f>
        <v>0</v>
      </c>
      <c r="AC213" s="636" t="e">
        <f t="shared" ref="AC213:AC214" si="174">+AD213/V213</f>
        <v>#DIV/0!</v>
      </c>
      <c r="AD213" s="292">
        <f>+V213-AB213</f>
        <v>0</v>
      </c>
      <c r="AE213" s="607"/>
      <c r="AF213" s="211"/>
    </row>
    <row r="214" spans="1:32" s="112" customFormat="1" ht="15" hidden="1" customHeight="1" x14ac:dyDescent="0.25">
      <c r="B214" s="178" t="s">
        <v>413</v>
      </c>
      <c r="C214" s="318"/>
      <c r="D214" s="193" t="s">
        <v>50</v>
      </c>
      <c r="E214" s="100"/>
      <c r="F214" s="606">
        <v>0</v>
      </c>
      <c r="G214" s="94"/>
      <c r="H214" s="193" t="s">
        <v>51</v>
      </c>
      <c r="I214" s="100"/>
      <c r="J214" s="321">
        <v>2</v>
      </c>
      <c r="K214" s="164"/>
      <c r="L214" s="193"/>
      <c r="M214" s="317"/>
      <c r="N214" s="323"/>
      <c r="O214" s="323"/>
      <c r="P214" s="321">
        <f>+'Staff Detail'!B29</f>
        <v>222</v>
      </c>
      <c r="Q214" s="322"/>
      <c r="R214" s="327">
        <f t="shared" si="169"/>
        <v>63.428571428571431</v>
      </c>
      <c r="S214" s="322"/>
      <c r="T214" s="319">
        <f t="shared" si="170"/>
        <v>0</v>
      </c>
      <c r="U214" s="317"/>
      <c r="V214" s="319">
        <f t="shared" si="171"/>
        <v>0</v>
      </c>
      <c r="W214" s="320"/>
      <c r="X214" s="337">
        <f t="shared" si="172"/>
        <v>0</v>
      </c>
      <c r="Y214" s="167"/>
      <c r="Z214" s="326">
        <f t="shared" si="173"/>
        <v>0</v>
      </c>
      <c r="AA214" s="635">
        <v>1</v>
      </c>
      <c r="AB214" s="638">
        <f>+W214+V214*AA214</f>
        <v>0</v>
      </c>
      <c r="AC214" s="636" t="e">
        <f t="shared" si="174"/>
        <v>#DIV/0!</v>
      </c>
      <c r="AD214" s="292">
        <f>+V214-AB214</f>
        <v>0</v>
      </c>
      <c r="AE214" s="607" t="s">
        <v>99</v>
      </c>
      <c r="AF214" s="211"/>
    </row>
    <row r="215" spans="1:32" s="112" customFormat="1" ht="15" hidden="1" customHeight="1" x14ac:dyDescent="0.25">
      <c r="B215" s="178" t="s">
        <v>165</v>
      </c>
      <c r="C215" s="318"/>
      <c r="D215" s="193" t="s">
        <v>50</v>
      </c>
      <c r="E215" s="317"/>
      <c r="F215" s="606">
        <v>0</v>
      </c>
      <c r="G215" s="317"/>
      <c r="H215" s="193" t="s">
        <v>51</v>
      </c>
      <c r="I215" s="100"/>
      <c r="J215" s="321">
        <v>2</v>
      </c>
      <c r="K215" s="322"/>
      <c r="L215" s="193"/>
      <c r="M215" s="323"/>
      <c r="N215" s="323"/>
      <c r="O215" s="323"/>
      <c r="P215" s="321">
        <f>+'Staff Detail'!B32</f>
        <v>30</v>
      </c>
      <c r="Q215" s="322"/>
      <c r="R215" s="327">
        <f t="shared" si="146"/>
        <v>8.5714285714285712</v>
      </c>
      <c r="S215" s="322"/>
      <c r="T215" s="319">
        <f t="shared" si="147"/>
        <v>0</v>
      </c>
      <c r="U215" s="317"/>
      <c r="V215" s="319">
        <f t="shared" si="148"/>
        <v>0</v>
      </c>
      <c r="W215" s="320"/>
      <c r="X215" s="337">
        <f t="shared" si="149"/>
        <v>0</v>
      </c>
      <c r="Y215" s="167"/>
      <c r="Z215" s="326">
        <f t="shared" si="173"/>
        <v>0</v>
      </c>
      <c r="AA215" s="635">
        <v>1</v>
      </c>
      <c r="AB215" s="638">
        <f>+W215+V215*AA215</f>
        <v>0</v>
      </c>
      <c r="AC215" s="636" t="e">
        <f t="shared" si="152"/>
        <v>#DIV/0!</v>
      </c>
      <c r="AD215" s="292">
        <f>+V215-AB215</f>
        <v>0</v>
      </c>
      <c r="AE215" s="607" t="s">
        <v>102</v>
      </c>
      <c r="AF215" s="211"/>
    </row>
    <row r="216" spans="1:32" s="112" customFormat="1" ht="15" hidden="1" customHeight="1" x14ac:dyDescent="0.25">
      <c r="B216" s="178" t="s">
        <v>148</v>
      </c>
      <c r="C216" s="318"/>
      <c r="D216" s="193" t="s">
        <v>149</v>
      </c>
      <c r="E216" s="317"/>
      <c r="F216" s="606">
        <v>0</v>
      </c>
      <c r="G216" s="317"/>
      <c r="H216" s="193" t="s">
        <v>51</v>
      </c>
      <c r="I216" s="100"/>
      <c r="J216" s="321">
        <v>2</v>
      </c>
      <c r="K216" s="322"/>
      <c r="L216" s="193"/>
      <c r="M216" s="323"/>
      <c r="N216" s="323"/>
      <c r="O216" s="323"/>
      <c r="P216" s="321">
        <v>500</v>
      </c>
      <c r="Q216" s="322"/>
      <c r="R216" s="327">
        <f t="shared" si="146"/>
        <v>142.85714285714286</v>
      </c>
      <c r="S216" s="322"/>
      <c r="T216" s="319">
        <f t="shared" si="147"/>
        <v>0</v>
      </c>
      <c r="U216" s="317"/>
      <c r="V216" s="319">
        <f t="shared" si="148"/>
        <v>0</v>
      </c>
      <c r="W216" s="320"/>
      <c r="X216" s="337">
        <f t="shared" si="149"/>
        <v>0</v>
      </c>
      <c r="Y216" s="167"/>
      <c r="Z216" s="326">
        <f t="shared" si="173"/>
        <v>0</v>
      </c>
      <c r="AA216" s="635">
        <v>1</v>
      </c>
      <c r="AB216" s="638">
        <f>+W216+V216*AA216</f>
        <v>0</v>
      </c>
      <c r="AC216" s="636" t="e">
        <f t="shared" si="152"/>
        <v>#DIV/0!</v>
      </c>
      <c r="AD216" s="292">
        <f>+V216-AB216</f>
        <v>0</v>
      </c>
      <c r="AE216" s="607" t="s">
        <v>102</v>
      </c>
      <c r="AF216" s="211"/>
    </row>
    <row r="217" spans="1:32" s="112" customFormat="1" ht="15" hidden="1" customHeight="1" x14ac:dyDescent="0.25">
      <c r="B217" s="178" t="s">
        <v>17</v>
      </c>
      <c r="C217" s="318"/>
      <c r="D217" s="193" t="s">
        <v>98</v>
      </c>
      <c r="E217" s="317"/>
      <c r="F217" s="606">
        <v>0</v>
      </c>
      <c r="G217" s="317"/>
      <c r="H217" s="193" t="s">
        <v>54</v>
      </c>
      <c r="I217" s="100"/>
      <c r="J217" s="321">
        <v>11</v>
      </c>
      <c r="K217" s="164"/>
      <c r="L217" s="193" t="s">
        <v>51</v>
      </c>
      <c r="M217" s="163"/>
      <c r="N217" s="321">
        <v>2</v>
      </c>
      <c r="O217" s="165"/>
      <c r="P217" s="606">
        <v>3.3</v>
      </c>
      <c r="Q217" s="322"/>
      <c r="R217" s="327">
        <f t="shared" si="146"/>
        <v>0.94285714285714284</v>
      </c>
      <c r="S217" s="322"/>
      <c r="T217" s="485">
        <f t="shared" si="147"/>
        <v>0</v>
      </c>
      <c r="U217" s="317"/>
      <c r="V217" s="319">
        <f t="shared" si="148"/>
        <v>0</v>
      </c>
      <c r="W217" s="320"/>
      <c r="X217" s="337">
        <f t="shared" si="149"/>
        <v>0</v>
      </c>
      <c r="Y217" s="167"/>
      <c r="Z217" s="326">
        <f t="shared" si="173"/>
        <v>0</v>
      </c>
      <c r="AA217" s="635">
        <v>1</v>
      </c>
      <c r="AB217" s="638">
        <f>+W217+V217*AA217</f>
        <v>0</v>
      </c>
      <c r="AC217" s="636" t="e">
        <f t="shared" si="152"/>
        <v>#DIV/0!</v>
      </c>
      <c r="AD217" s="292">
        <f>+V217-AB217</f>
        <v>0</v>
      </c>
      <c r="AE217" s="611" t="s">
        <v>55</v>
      </c>
      <c r="AF217" s="211"/>
    </row>
    <row r="218" spans="1:32" s="112" customFormat="1" ht="15" hidden="1" customHeight="1" thickBot="1" x14ac:dyDescent="0.3">
      <c r="A218" s="112" t="s">
        <v>293</v>
      </c>
      <c r="B218" s="468" t="s">
        <v>96</v>
      </c>
      <c r="C218" s="318"/>
      <c r="D218" s="324"/>
      <c r="E218" s="317"/>
      <c r="F218" s="608"/>
      <c r="G218" s="317"/>
      <c r="H218" s="324"/>
      <c r="I218" s="317"/>
      <c r="J218" s="162"/>
      <c r="K218" s="322"/>
      <c r="L218" s="323"/>
      <c r="M218" s="323"/>
      <c r="N218" s="166"/>
      <c r="O218" s="323"/>
      <c r="P218" s="322"/>
      <c r="Q218" s="322"/>
      <c r="R218" s="322"/>
      <c r="S218" s="322"/>
      <c r="T218" s="296">
        <f>SUM(T213:T217)</f>
        <v>0</v>
      </c>
      <c r="U218" s="318"/>
      <c r="V218" s="296">
        <f>SUM(V213:V217)</f>
        <v>0</v>
      </c>
      <c r="W218" s="134"/>
      <c r="X218" s="670">
        <f>SUM(X213:X217)</f>
        <v>0</v>
      </c>
      <c r="Y218" s="469"/>
      <c r="Z218" s="286">
        <f t="shared" si="173"/>
        <v>0</v>
      </c>
      <c r="AA218" s="668"/>
      <c r="AB218" s="296">
        <f>SUM(AB213:AB217)</f>
        <v>0</v>
      </c>
      <c r="AC218" s="637"/>
      <c r="AD218" s="296">
        <f>SUM(AD213:AD217)</f>
        <v>0</v>
      </c>
      <c r="AE218" s="607"/>
      <c r="AF218" s="211"/>
    </row>
    <row r="219" spans="1:32" s="112" customFormat="1" ht="15" hidden="1" customHeight="1" x14ac:dyDescent="0.25">
      <c r="B219" s="177"/>
      <c r="C219" s="318"/>
      <c r="D219" s="324"/>
      <c r="E219" s="100"/>
      <c r="F219" s="608"/>
      <c r="G219" s="94"/>
      <c r="H219" s="324"/>
      <c r="I219" s="100"/>
      <c r="J219" s="162"/>
      <c r="K219" s="164"/>
      <c r="L219" s="323"/>
      <c r="M219" s="323"/>
      <c r="N219" s="166"/>
      <c r="O219" s="323"/>
      <c r="P219" s="322"/>
      <c r="Q219" s="322"/>
      <c r="R219" s="322"/>
      <c r="S219" s="322"/>
      <c r="T219" s="302"/>
      <c r="U219" s="318"/>
      <c r="V219" s="302"/>
      <c r="W219" s="134"/>
      <c r="X219" s="344"/>
      <c r="Y219" s="240"/>
      <c r="Z219" s="290"/>
      <c r="AA219" s="94"/>
      <c r="AB219" s="648"/>
      <c r="AC219" s="94"/>
      <c r="AD219" s="94"/>
      <c r="AE219" s="607"/>
      <c r="AF219" s="211"/>
    </row>
    <row r="220" spans="1:32" s="112" customFormat="1" ht="15" hidden="1" customHeight="1" x14ac:dyDescent="0.25">
      <c r="B220" s="194" t="s">
        <v>150</v>
      </c>
      <c r="C220" s="318"/>
      <c r="D220" s="324"/>
      <c r="E220" s="100"/>
      <c r="F220" s="608"/>
      <c r="G220" s="94"/>
      <c r="H220" s="324"/>
      <c r="I220" s="100"/>
      <c r="J220" s="162"/>
      <c r="K220" s="164"/>
      <c r="L220" s="323"/>
      <c r="M220" s="323"/>
      <c r="N220" s="166"/>
      <c r="O220" s="323"/>
      <c r="P220" s="322"/>
      <c r="Q220" s="322"/>
      <c r="R220" s="322"/>
      <c r="S220" s="322"/>
      <c r="T220" s="302"/>
      <c r="U220" s="318"/>
      <c r="V220" s="302"/>
      <c r="W220" s="134"/>
      <c r="X220" s="344" t="s">
        <v>135</v>
      </c>
      <c r="Y220" s="240"/>
      <c r="Z220" s="290"/>
      <c r="AA220" s="94"/>
      <c r="AB220" s="648"/>
      <c r="AC220" s="94"/>
      <c r="AD220" s="94"/>
      <c r="AE220" s="607"/>
      <c r="AF220" s="211"/>
    </row>
    <row r="221" spans="1:32" s="112" customFormat="1" ht="15" hidden="1" customHeight="1" x14ac:dyDescent="0.25">
      <c r="B221" s="194" t="s">
        <v>158</v>
      </c>
      <c r="C221" s="318"/>
      <c r="D221" s="324"/>
      <c r="E221" s="100"/>
      <c r="F221" s="608"/>
      <c r="G221" s="94"/>
      <c r="H221" s="324"/>
      <c r="I221" s="100"/>
      <c r="J221" s="162"/>
      <c r="K221" s="164"/>
      <c r="L221" s="323"/>
      <c r="M221" s="323"/>
      <c r="N221" s="166"/>
      <c r="O221" s="323"/>
      <c r="P221" s="322"/>
      <c r="Q221" s="322"/>
      <c r="R221" s="322"/>
      <c r="S221" s="322"/>
      <c r="T221" s="302"/>
      <c r="U221" s="318"/>
      <c r="V221" s="302"/>
      <c r="W221" s="134"/>
      <c r="X221" s="344"/>
      <c r="Y221" s="240"/>
      <c r="Z221" s="290"/>
      <c r="AA221" s="94"/>
      <c r="AB221" s="648"/>
      <c r="AC221" s="94"/>
      <c r="AD221" s="94"/>
      <c r="AE221" s="607"/>
      <c r="AF221" s="211"/>
    </row>
    <row r="222" spans="1:32" s="112" customFormat="1" ht="15" hidden="1" customHeight="1" x14ac:dyDescent="0.25">
      <c r="B222" s="178" t="s">
        <v>413</v>
      </c>
      <c r="C222" s="318"/>
      <c r="D222" s="193" t="s">
        <v>50</v>
      </c>
      <c r="E222" s="100"/>
      <c r="F222" s="606">
        <v>0</v>
      </c>
      <c r="G222" s="94"/>
      <c r="H222" s="193" t="s">
        <v>51</v>
      </c>
      <c r="I222" s="100"/>
      <c r="J222" s="321">
        <f>64+12</f>
        <v>76</v>
      </c>
      <c r="K222" s="164"/>
      <c r="L222" s="193"/>
      <c r="M222" s="317"/>
      <c r="N222" s="323"/>
      <c r="O222" s="323"/>
      <c r="P222" s="321">
        <f>+'Staff Detail'!B29</f>
        <v>222</v>
      </c>
      <c r="Q222" s="322"/>
      <c r="R222" s="327">
        <f t="shared" ref="R222:R223" si="175">P222/$V$6</f>
        <v>63.428571428571431</v>
      </c>
      <c r="S222" s="322"/>
      <c r="T222" s="319">
        <f t="shared" ref="T222:T223" si="176">IF(N222=0,IF(J222=0,F222*P222,F222*J222*P222),F222*J222*N222*P222)</f>
        <v>0</v>
      </c>
      <c r="U222" s="317"/>
      <c r="V222" s="319">
        <f t="shared" ref="V222:V223" si="177">T222/$V$6</f>
        <v>0</v>
      </c>
      <c r="W222" s="320"/>
      <c r="X222" s="337">
        <f t="shared" ref="X222:X223" si="178">V222/$V$3</f>
        <v>0</v>
      </c>
      <c r="Y222" s="167"/>
      <c r="Z222" s="326">
        <f t="shared" ref="Z222:Z229" si="179">V222/$V$601</f>
        <v>0</v>
      </c>
      <c r="AA222" s="635">
        <v>1</v>
      </c>
      <c r="AB222" s="638">
        <f t="shared" ref="AB222:AB228" si="180">+W222+V222*AA222</f>
        <v>0</v>
      </c>
      <c r="AC222" s="636" t="e">
        <f t="shared" ref="AC222:AC228" si="181">+AD222/V222</f>
        <v>#DIV/0!</v>
      </c>
      <c r="AD222" s="292">
        <f t="shared" ref="AD222:AD228" si="182">+V222-AB222</f>
        <v>0</v>
      </c>
      <c r="AE222" s="607" t="s">
        <v>99</v>
      </c>
      <c r="AF222" s="211"/>
    </row>
    <row r="223" spans="1:32" s="491" customFormat="1" ht="15" hidden="1" customHeight="1" x14ac:dyDescent="0.25">
      <c r="B223" s="178" t="s">
        <v>411</v>
      </c>
      <c r="C223" s="478"/>
      <c r="D223" s="479" t="s">
        <v>50</v>
      </c>
      <c r="E223" s="482"/>
      <c r="F223" s="606">
        <v>0</v>
      </c>
      <c r="G223" s="659"/>
      <c r="H223" s="479" t="s">
        <v>51</v>
      </c>
      <c r="I223" s="482"/>
      <c r="J223" s="321">
        <f>(64+12)/2</f>
        <v>38</v>
      </c>
      <c r="K223" s="541"/>
      <c r="L223" s="479"/>
      <c r="M223" s="480"/>
      <c r="N223" s="478"/>
      <c r="O223" s="478"/>
      <c r="P223" s="732">
        <f>+'Staff Detail'!D41+'Staff Detail'!B36</f>
        <v>383.56164383561645</v>
      </c>
      <c r="Q223" s="483"/>
      <c r="R223" s="484">
        <f t="shared" si="175"/>
        <v>109.58904109589041</v>
      </c>
      <c r="S223" s="483"/>
      <c r="T223" s="485">
        <f t="shared" si="176"/>
        <v>0</v>
      </c>
      <c r="U223" s="480"/>
      <c r="V223" s="485">
        <f t="shared" si="177"/>
        <v>0</v>
      </c>
      <c r="W223" s="486"/>
      <c r="X223" s="487">
        <f t="shared" si="178"/>
        <v>0</v>
      </c>
      <c r="Y223" s="488"/>
      <c r="Z223" s="489">
        <f t="shared" si="179"/>
        <v>0</v>
      </c>
      <c r="AA223" s="660">
        <v>1</v>
      </c>
      <c r="AB223" s="661">
        <f t="shared" si="180"/>
        <v>0</v>
      </c>
      <c r="AC223" s="662" t="e">
        <f>+AD223/V223</f>
        <v>#DIV/0!</v>
      </c>
      <c r="AD223" s="483">
        <f t="shared" si="182"/>
        <v>0</v>
      </c>
      <c r="AE223" s="480" t="s">
        <v>99</v>
      </c>
      <c r="AF223" s="490"/>
    </row>
    <row r="224" spans="1:32" s="112" customFormat="1" ht="15" hidden="1" customHeight="1" x14ac:dyDescent="0.25">
      <c r="B224" s="178" t="s">
        <v>140</v>
      </c>
      <c r="C224" s="318"/>
      <c r="D224" s="193" t="s">
        <v>50</v>
      </c>
      <c r="E224" s="100"/>
      <c r="F224" s="606">
        <v>0</v>
      </c>
      <c r="G224" s="94"/>
      <c r="H224" s="193" t="s">
        <v>51</v>
      </c>
      <c r="I224" s="100"/>
      <c r="J224" s="321">
        <f>64+12</f>
        <v>76</v>
      </c>
      <c r="K224" s="164"/>
      <c r="L224" s="193"/>
      <c r="M224" s="317"/>
      <c r="N224" s="323"/>
      <c r="O224" s="323"/>
      <c r="P224" s="321">
        <v>0</v>
      </c>
      <c r="Q224" s="322"/>
      <c r="R224" s="327">
        <f t="shared" ref="R224:R228" si="183">P224/$V$6</f>
        <v>0</v>
      </c>
      <c r="S224" s="322"/>
      <c r="T224" s="319">
        <f t="shared" ref="T224:T228" si="184">IF(N224=0,IF(J224=0,F224*P224,F224*J224*P224),F224*J224*N224*P224)</f>
        <v>0</v>
      </c>
      <c r="U224" s="317"/>
      <c r="V224" s="319">
        <f t="shared" ref="V224:V228" si="185">T224/$V$6</f>
        <v>0</v>
      </c>
      <c r="W224" s="320"/>
      <c r="X224" s="337">
        <f t="shared" ref="X224:X228" si="186">V224/$V$3</f>
        <v>0</v>
      </c>
      <c r="Y224" s="167"/>
      <c r="Z224" s="326">
        <f t="shared" si="179"/>
        <v>0</v>
      </c>
      <c r="AA224" s="635">
        <v>1</v>
      </c>
      <c r="AB224" s="638">
        <f t="shared" si="180"/>
        <v>0</v>
      </c>
      <c r="AC224" s="636" t="e">
        <f t="shared" si="181"/>
        <v>#DIV/0!</v>
      </c>
      <c r="AD224" s="292">
        <f t="shared" si="182"/>
        <v>0</v>
      </c>
      <c r="AE224" s="607" t="s">
        <v>99</v>
      </c>
      <c r="AF224" s="211"/>
    </row>
    <row r="225" spans="1:32" s="112" customFormat="1" ht="15" hidden="1" customHeight="1" x14ac:dyDescent="0.25">
      <c r="B225" s="178" t="s">
        <v>147</v>
      </c>
      <c r="C225" s="318"/>
      <c r="D225" s="193" t="s">
        <v>50</v>
      </c>
      <c r="E225" s="317"/>
      <c r="F225" s="606">
        <v>0</v>
      </c>
      <c r="G225" s="317"/>
      <c r="H225" s="193" t="s">
        <v>51</v>
      </c>
      <c r="I225" s="100"/>
      <c r="J225" s="321">
        <f>64+12</f>
        <v>76</v>
      </c>
      <c r="K225" s="322"/>
      <c r="L225" s="193"/>
      <c r="M225" s="323"/>
      <c r="N225" s="323"/>
      <c r="O225" s="323"/>
      <c r="P225" s="321">
        <f>+'Staff Detail'!B32</f>
        <v>30</v>
      </c>
      <c r="Q225" s="322"/>
      <c r="R225" s="327">
        <f t="shared" si="183"/>
        <v>8.5714285714285712</v>
      </c>
      <c r="S225" s="322"/>
      <c r="T225" s="319">
        <f t="shared" si="184"/>
        <v>0</v>
      </c>
      <c r="U225" s="317"/>
      <c r="V225" s="319">
        <f t="shared" si="185"/>
        <v>0</v>
      </c>
      <c r="W225" s="320"/>
      <c r="X225" s="337">
        <f t="shared" si="186"/>
        <v>0</v>
      </c>
      <c r="Y225" s="167"/>
      <c r="Z225" s="326">
        <f t="shared" si="179"/>
        <v>0</v>
      </c>
      <c r="AA225" s="635">
        <v>1</v>
      </c>
      <c r="AB225" s="638">
        <f t="shared" si="180"/>
        <v>0</v>
      </c>
      <c r="AC225" s="636" t="e">
        <f t="shared" si="181"/>
        <v>#DIV/0!</v>
      </c>
      <c r="AD225" s="292">
        <f t="shared" si="182"/>
        <v>0</v>
      </c>
      <c r="AE225" s="607" t="s">
        <v>102</v>
      </c>
      <c r="AF225" s="211"/>
    </row>
    <row r="226" spans="1:32" s="112" customFormat="1" ht="15" hidden="1" customHeight="1" x14ac:dyDescent="0.25">
      <c r="B226" s="178" t="s">
        <v>148</v>
      </c>
      <c r="C226" s="318"/>
      <c r="D226" s="193" t="s">
        <v>149</v>
      </c>
      <c r="E226" s="317"/>
      <c r="F226" s="606">
        <v>0</v>
      </c>
      <c r="G226" s="317"/>
      <c r="H226" s="193" t="s">
        <v>51</v>
      </c>
      <c r="I226" s="100"/>
      <c r="J226" s="321">
        <f>64+12</f>
        <v>76</v>
      </c>
      <c r="K226" s="322"/>
      <c r="L226" s="193"/>
      <c r="M226" s="323"/>
      <c r="N226" s="323"/>
      <c r="O226" s="323"/>
      <c r="P226" s="321">
        <v>500</v>
      </c>
      <c r="Q226" s="322"/>
      <c r="R226" s="327">
        <f t="shared" si="183"/>
        <v>142.85714285714286</v>
      </c>
      <c r="S226" s="322"/>
      <c r="T226" s="319">
        <f t="shared" si="184"/>
        <v>0</v>
      </c>
      <c r="U226" s="317"/>
      <c r="V226" s="319">
        <f t="shared" si="185"/>
        <v>0</v>
      </c>
      <c r="W226" s="320"/>
      <c r="X226" s="337">
        <f t="shared" si="186"/>
        <v>0</v>
      </c>
      <c r="Y226" s="167"/>
      <c r="Z226" s="326">
        <f t="shared" si="179"/>
        <v>0</v>
      </c>
      <c r="AA226" s="635">
        <v>1</v>
      </c>
      <c r="AB226" s="638">
        <f t="shared" si="180"/>
        <v>0</v>
      </c>
      <c r="AC226" s="636" t="e">
        <f t="shared" si="181"/>
        <v>#DIV/0!</v>
      </c>
      <c r="AD226" s="292">
        <f t="shared" si="182"/>
        <v>0</v>
      </c>
      <c r="AE226" s="607" t="s">
        <v>102</v>
      </c>
      <c r="AF226" s="211"/>
    </row>
    <row r="227" spans="1:32" s="112" customFormat="1" ht="15" hidden="1" customHeight="1" x14ac:dyDescent="0.25">
      <c r="B227" s="178" t="s">
        <v>241</v>
      </c>
      <c r="C227" s="318"/>
      <c r="D227" s="193" t="s">
        <v>50</v>
      </c>
      <c r="E227" s="317"/>
      <c r="F227" s="606">
        <v>0</v>
      </c>
      <c r="G227" s="317"/>
      <c r="H227" s="193" t="s">
        <v>51</v>
      </c>
      <c r="I227" s="100"/>
      <c r="J227" s="321">
        <f>64+12</f>
        <v>76</v>
      </c>
      <c r="K227" s="164"/>
      <c r="L227" s="193"/>
      <c r="M227" s="163"/>
      <c r="N227" s="323"/>
      <c r="O227" s="165"/>
      <c r="P227" s="321">
        <v>31</v>
      </c>
      <c r="Q227" s="322"/>
      <c r="R227" s="327">
        <f t="shared" si="183"/>
        <v>8.8571428571428577</v>
      </c>
      <c r="S227" s="322"/>
      <c r="T227" s="319">
        <f t="shared" si="184"/>
        <v>0</v>
      </c>
      <c r="U227" s="317"/>
      <c r="V227" s="319">
        <f t="shared" si="185"/>
        <v>0</v>
      </c>
      <c r="W227" s="320"/>
      <c r="X227" s="337">
        <f t="shared" si="186"/>
        <v>0</v>
      </c>
      <c r="Y227" s="167"/>
      <c r="Z227" s="326">
        <f t="shared" si="179"/>
        <v>0</v>
      </c>
      <c r="AA227" s="635">
        <v>1</v>
      </c>
      <c r="AB227" s="638">
        <f t="shared" si="180"/>
        <v>0</v>
      </c>
      <c r="AC227" s="636"/>
      <c r="AD227" s="292">
        <f t="shared" si="182"/>
        <v>0</v>
      </c>
      <c r="AE227" s="607"/>
      <c r="AF227" s="211"/>
    </row>
    <row r="228" spans="1:32" s="491" customFormat="1" ht="15" hidden="1" customHeight="1" x14ac:dyDescent="0.25">
      <c r="B228" s="178" t="s">
        <v>17</v>
      </c>
      <c r="C228" s="478"/>
      <c r="D228" s="479" t="s">
        <v>98</v>
      </c>
      <c r="E228" s="480"/>
      <c r="F228" s="606">
        <v>0</v>
      </c>
      <c r="G228" s="480"/>
      <c r="H228" s="479" t="s">
        <v>54</v>
      </c>
      <c r="I228" s="482"/>
      <c r="J228" s="481">
        <v>11.25</v>
      </c>
      <c r="K228" s="541"/>
      <c r="L228" s="479" t="s">
        <v>51</v>
      </c>
      <c r="M228" s="542"/>
      <c r="N228" s="481">
        <v>76</v>
      </c>
      <c r="O228" s="543"/>
      <c r="P228" s="481">
        <v>3.3</v>
      </c>
      <c r="Q228" s="483"/>
      <c r="R228" s="484">
        <f t="shared" si="183"/>
        <v>0.94285714285714284</v>
      </c>
      <c r="S228" s="483"/>
      <c r="T228" s="485">
        <f t="shared" si="184"/>
        <v>0</v>
      </c>
      <c r="U228" s="480"/>
      <c r="V228" s="485">
        <f t="shared" si="185"/>
        <v>0</v>
      </c>
      <c r="W228" s="486"/>
      <c r="X228" s="487">
        <f t="shared" si="186"/>
        <v>0</v>
      </c>
      <c r="Y228" s="488"/>
      <c r="Z228" s="489">
        <f t="shared" si="179"/>
        <v>0</v>
      </c>
      <c r="AA228" s="660">
        <v>1</v>
      </c>
      <c r="AB228" s="661">
        <f t="shared" si="180"/>
        <v>0</v>
      </c>
      <c r="AC228" s="662" t="e">
        <f t="shared" si="181"/>
        <v>#DIV/0!</v>
      </c>
      <c r="AD228" s="483">
        <f t="shared" si="182"/>
        <v>0</v>
      </c>
      <c r="AE228" s="797" t="s">
        <v>55</v>
      </c>
      <c r="AF228" s="490"/>
    </row>
    <row r="229" spans="1:32" s="112" customFormat="1" ht="15" hidden="1" customHeight="1" thickBot="1" x14ac:dyDescent="0.3">
      <c r="A229" s="112" t="s">
        <v>294</v>
      </c>
      <c r="B229" s="468" t="s">
        <v>96</v>
      </c>
      <c r="C229" s="318"/>
      <c r="D229" s="324"/>
      <c r="E229" s="317"/>
      <c r="F229" s="608"/>
      <c r="G229" s="317"/>
      <c r="H229" s="324"/>
      <c r="I229" s="317"/>
      <c r="J229" s="162"/>
      <c r="K229" s="322"/>
      <c r="L229" s="323"/>
      <c r="M229" s="323"/>
      <c r="N229" s="166"/>
      <c r="O229" s="323"/>
      <c r="P229" s="322"/>
      <c r="Q229" s="322"/>
      <c r="R229" s="322"/>
      <c r="S229" s="322"/>
      <c r="T229" s="296">
        <f>SUM(T224:T228)</f>
        <v>0</v>
      </c>
      <c r="U229" s="318"/>
      <c r="V229" s="296">
        <f>SUM(V224:V228)</f>
        <v>0</v>
      </c>
      <c r="W229" s="134"/>
      <c r="X229" s="359">
        <f>SUM(X222:X228)</f>
        <v>0</v>
      </c>
      <c r="Y229" s="469"/>
      <c r="Z229" s="286">
        <f t="shared" si="179"/>
        <v>0</v>
      </c>
      <c r="AA229" s="668"/>
      <c r="AB229" s="296">
        <f>SUM(AB224:AB228)</f>
        <v>0</v>
      </c>
      <c r="AC229" s="637"/>
      <c r="AD229" s="296">
        <f>SUM(AD224:AD228)</f>
        <v>0</v>
      </c>
      <c r="AE229" s="607"/>
      <c r="AF229" s="211"/>
    </row>
    <row r="230" spans="1:32" s="112" customFormat="1" ht="15" hidden="1" customHeight="1" x14ac:dyDescent="0.25">
      <c r="B230" s="470"/>
      <c r="C230" s="318"/>
      <c r="D230" s="324"/>
      <c r="E230" s="100"/>
      <c r="F230" s="608"/>
      <c r="G230" s="94"/>
      <c r="H230" s="324"/>
      <c r="I230" s="100"/>
      <c r="J230" s="162"/>
      <c r="K230" s="164"/>
      <c r="L230" s="323"/>
      <c r="M230" s="323"/>
      <c r="N230" s="166"/>
      <c r="O230" s="323"/>
      <c r="P230" s="322"/>
      <c r="Q230" s="322"/>
      <c r="R230" s="322"/>
      <c r="S230" s="322"/>
      <c r="T230" s="134"/>
      <c r="U230" s="318"/>
      <c r="V230" s="134"/>
      <c r="W230" s="134"/>
      <c r="X230" s="355"/>
      <c r="Y230" s="469"/>
      <c r="Z230" s="290"/>
      <c r="AA230" s="94"/>
      <c r="AB230" s="648"/>
      <c r="AC230" s="94"/>
      <c r="AD230" s="94"/>
      <c r="AE230" s="607"/>
      <c r="AF230" s="211"/>
    </row>
    <row r="231" spans="1:32" s="112" customFormat="1" ht="15" hidden="1" customHeight="1" x14ac:dyDescent="0.25">
      <c r="B231" s="470" t="s">
        <v>159</v>
      </c>
      <c r="C231" s="318"/>
      <c r="D231" s="324"/>
      <c r="E231" s="100"/>
      <c r="F231" s="608"/>
      <c r="G231" s="94"/>
      <c r="H231" s="324"/>
      <c r="I231" s="100"/>
      <c r="J231" s="162"/>
      <c r="K231" s="164"/>
      <c r="L231" s="323"/>
      <c r="M231" s="323"/>
      <c r="N231" s="166"/>
      <c r="O231" s="323"/>
      <c r="P231" s="322"/>
      <c r="Q231" s="322"/>
      <c r="R231" s="322"/>
      <c r="S231" s="322"/>
      <c r="T231" s="134"/>
      <c r="U231" s="318"/>
      <c r="V231" s="134"/>
      <c r="W231" s="134"/>
      <c r="X231" s="355"/>
      <c r="Y231" s="469"/>
      <c r="Z231" s="290"/>
      <c r="AA231" s="94"/>
      <c r="AB231" s="648"/>
      <c r="AC231" s="94"/>
      <c r="AD231" s="94"/>
      <c r="AE231" s="607"/>
      <c r="AF231" s="211"/>
    </row>
    <row r="232" spans="1:32" s="491" customFormat="1" ht="15" hidden="1" customHeight="1" x14ac:dyDescent="0.25">
      <c r="B232" s="178" t="s">
        <v>411</v>
      </c>
      <c r="C232" s="478"/>
      <c r="D232" s="479" t="s">
        <v>50</v>
      </c>
      <c r="E232" s="482"/>
      <c r="F232" s="606">
        <v>0</v>
      </c>
      <c r="G232" s="659"/>
      <c r="H232" s="479" t="s">
        <v>51</v>
      </c>
      <c r="I232" s="482"/>
      <c r="J232" s="481">
        <v>5</v>
      </c>
      <c r="K232" s="541"/>
      <c r="L232" s="479"/>
      <c r="M232" s="480"/>
      <c r="N232" s="478"/>
      <c r="O232" s="478"/>
      <c r="P232" s="481">
        <v>97</v>
      </c>
      <c r="Q232" s="483"/>
      <c r="R232" s="484">
        <f t="shared" ref="R232:R234" si="187">P232/$V$6</f>
        <v>27.714285714285715</v>
      </c>
      <c r="S232" s="483"/>
      <c r="T232" s="485">
        <f t="shared" ref="T232:T234" si="188">IF(N232=0,IF(J232=0,F232*P232,F232*J232*P232),F232*J232*N232*P232)</f>
        <v>0</v>
      </c>
      <c r="U232" s="480"/>
      <c r="V232" s="485">
        <f t="shared" ref="V232:V234" si="189">T232/$V$6</f>
        <v>0</v>
      </c>
      <c r="W232" s="486"/>
      <c r="X232" s="487">
        <f t="shared" ref="X232:X234" si="190">V232/$V$3</f>
        <v>0</v>
      </c>
      <c r="Y232" s="488"/>
      <c r="Z232" s="489">
        <f>V232/$V$601</f>
        <v>0</v>
      </c>
      <c r="AA232" s="660">
        <v>1</v>
      </c>
      <c r="AB232" s="661">
        <f>+W232+V232*AA232</f>
        <v>0</v>
      </c>
      <c r="AC232" s="662" t="e">
        <f>+AD232/V232</f>
        <v>#DIV/0!</v>
      </c>
      <c r="AD232" s="483">
        <f>+V232-AB232</f>
        <v>0</v>
      </c>
      <c r="AE232" s="480" t="s">
        <v>99</v>
      </c>
      <c r="AF232" s="490"/>
    </row>
    <row r="233" spans="1:32" s="112" customFormat="1" ht="15" hidden="1" customHeight="1" x14ac:dyDescent="0.25">
      <c r="B233" s="178" t="s">
        <v>413</v>
      </c>
      <c r="C233" s="318"/>
      <c r="D233" s="193" t="s">
        <v>50</v>
      </c>
      <c r="E233" s="100"/>
      <c r="F233" s="606">
        <v>0</v>
      </c>
      <c r="G233" s="94"/>
      <c r="H233" s="193" t="s">
        <v>51</v>
      </c>
      <c r="I233" s="100"/>
      <c r="J233" s="321">
        <v>5</v>
      </c>
      <c r="K233" s="164"/>
      <c r="L233" s="193"/>
      <c r="M233" s="317"/>
      <c r="N233" s="323"/>
      <c r="O233" s="323"/>
      <c r="P233" s="321">
        <v>78</v>
      </c>
      <c r="Q233" s="322"/>
      <c r="R233" s="327">
        <f t="shared" si="187"/>
        <v>22.285714285714285</v>
      </c>
      <c r="S233" s="322"/>
      <c r="T233" s="319">
        <f t="shared" si="188"/>
        <v>0</v>
      </c>
      <c r="U233" s="317"/>
      <c r="V233" s="319">
        <f t="shared" si="189"/>
        <v>0</v>
      </c>
      <c r="W233" s="320"/>
      <c r="X233" s="337">
        <f t="shared" si="190"/>
        <v>0</v>
      </c>
      <c r="Y233" s="167"/>
      <c r="Z233" s="326">
        <f>V233/$V$601</f>
        <v>0</v>
      </c>
      <c r="AA233" s="635">
        <v>1</v>
      </c>
      <c r="AB233" s="638">
        <f>+W233+V233*AA233</f>
        <v>0</v>
      </c>
      <c r="AC233" s="636" t="e">
        <f>+AD233/V233</f>
        <v>#DIV/0!</v>
      </c>
      <c r="AD233" s="292">
        <f>+V233-AB233</f>
        <v>0</v>
      </c>
      <c r="AE233" s="607" t="s">
        <v>99</v>
      </c>
      <c r="AF233" s="211"/>
    </row>
    <row r="234" spans="1:32" s="112" customFormat="1" ht="15" hidden="1" customHeight="1" x14ac:dyDescent="0.25">
      <c r="B234" s="178" t="s">
        <v>254</v>
      </c>
      <c r="C234" s="318"/>
      <c r="D234" s="193" t="s">
        <v>50</v>
      </c>
      <c r="E234" s="100"/>
      <c r="F234" s="606">
        <v>0</v>
      </c>
      <c r="G234" s="94"/>
      <c r="H234" s="193" t="s">
        <v>51</v>
      </c>
      <c r="I234" s="100"/>
      <c r="J234" s="321">
        <v>5</v>
      </c>
      <c r="K234" s="164"/>
      <c r="L234" s="193"/>
      <c r="M234" s="317"/>
      <c r="N234" s="323"/>
      <c r="O234" s="323"/>
      <c r="P234" s="321">
        <v>165</v>
      </c>
      <c r="Q234" s="322"/>
      <c r="R234" s="327">
        <f t="shared" si="187"/>
        <v>47.142857142857146</v>
      </c>
      <c r="S234" s="322"/>
      <c r="T234" s="319">
        <f t="shared" si="188"/>
        <v>0</v>
      </c>
      <c r="U234" s="317"/>
      <c r="V234" s="319">
        <f t="shared" si="189"/>
        <v>0</v>
      </c>
      <c r="W234" s="320"/>
      <c r="X234" s="337">
        <f t="shared" si="190"/>
        <v>0</v>
      </c>
      <c r="Y234" s="167"/>
      <c r="Z234" s="326">
        <f>V234/$V$601</f>
        <v>0</v>
      </c>
      <c r="AA234" s="635">
        <v>1</v>
      </c>
      <c r="AB234" s="638">
        <f>+W234+V234*AA234</f>
        <v>0</v>
      </c>
      <c r="AC234" s="636" t="e">
        <f>+AD234/V234</f>
        <v>#DIV/0!</v>
      </c>
      <c r="AD234" s="292">
        <f>+V234-AB234</f>
        <v>0</v>
      </c>
      <c r="AE234" s="607" t="s">
        <v>99</v>
      </c>
      <c r="AF234" s="211"/>
    </row>
    <row r="235" spans="1:32" s="112" customFormat="1" ht="15" hidden="1" customHeight="1" thickBot="1" x14ac:dyDescent="0.3">
      <c r="A235" s="112" t="s">
        <v>295</v>
      </c>
      <c r="B235" s="468" t="s">
        <v>96</v>
      </c>
      <c r="C235" s="318"/>
      <c r="D235" s="324"/>
      <c r="E235" s="317"/>
      <c r="F235" s="608"/>
      <c r="G235" s="317"/>
      <c r="H235" s="324"/>
      <c r="I235" s="317"/>
      <c r="J235" s="162"/>
      <c r="K235" s="322"/>
      <c r="L235" s="323"/>
      <c r="M235" s="323"/>
      <c r="N235" s="166"/>
      <c r="O235" s="323"/>
      <c r="P235" s="322"/>
      <c r="Q235" s="322"/>
      <c r="R235" s="322"/>
      <c r="S235" s="322"/>
      <c r="T235" s="296">
        <f>SUM(T232:T234)</f>
        <v>0</v>
      </c>
      <c r="U235" s="318"/>
      <c r="V235" s="296">
        <f>SUM(V232:V234)</f>
        <v>0</v>
      </c>
      <c r="W235" s="134"/>
      <c r="X235" s="359">
        <f>SUM(X232:X234)</f>
        <v>0</v>
      </c>
      <c r="Y235" s="469"/>
      <c r="Z235" s="286">
        <f>V235/$V$601</f>
        <v>0</v>
      </c>
      <c r="AA235" s="635">
        <v>1</v>
      </c>
      <c r="AB235" s="638">
        <f>+W235+V235*AA235</f>
        <v>0</v>
      </c>
      <c r="AC235" s="636" t="e">
        <f>+AD235/V235</f>
        <v>#DIV/0!</v>
      </c>
      <c r="AD235" s="292">
        <f>+V235-AB235</f>
        <v>0</v>
      </c>
      <c r="AE235" s="607"/>
      <c r="AF235" s="211"/>
    </row>
    <row r="236" spans="1:32" s="112" customFormat="1" ht="15" customHeight="1" x14ac:dyDescent="0.25">
      <c r="B236" s="470" t="s">
        <v>135</v>
      </c>
      <c r="C236" s="318"/>
      <c r="D236" s="324"/>
      <c r="E236" s="100"/>
      <c r="F236" s="608"/>
      <c r="G236" s="94"/>
      <c r="H236" s="324"/>
      <c r="I236" s="100"/>
      <c r="J236" s="162"/>
      <c r="K236" s="164"/>
      <c r="L236" s="323"/>
      <c r="M236" s="323"/>
      <c r="N236" s="166"/>
      <c r="O236" s="323"/>
      <c r="P236" s="322"/>
      <c r="Q236" s="322"/>
      <c r="R236" s="322"/>
      <c r="S236" s="322"/>
      <c r="T236" s="134"/>
      <c r="U236" s="318"/>
      <c r="V236" s="134"/>
      <c r="W236" s="134"/>
      <c r="X236" s="355"/>
      <c r="Y236" s="469"/>
      <c r="Z236" s="290"/>
      <c r="AA236" s="94"/>
      <c r="AB236" s="648"/>
      <c r="AC236" s="94"/>
      <c r="AD236" s="94"/>
      <c r="AE236" s="607"/>
      <c r="AF236" s="211"/>
    </row>
    <row r="237" spans="1:32" s="112" customFormat="1" ht="15" customHeight="1" x14ac:dyDescent="0.25">
      <c r="B237" s="470" t="s">
        <v>522</v>
      </c>
      <c r="C237" s="318"/>
      <c r="D237" s="324"/>
      <c r="E237" s="100"/>
      <c r="F237" s="608"/>
      <c r="G237" s="94"/>
      <c r="H237" s="324"/>
      <c r="I237" s="100"/>
      <c r="J237" s="162"/>
      <c r="K237" s="164"/>
      <c r="L237" s="323"/>
      <c r="M237" s="323"/>
      <c r="N237" s="166"/>
      <c r="O237" s="323"/>
      <c r="P237" s="322"/>
      <c r="Q237" s="322"/>
      <c r="R237" s="322"/>
      <c r="S237" s="322"/>
      <c r="T237" s="134"/>
      <c r="U237" s="318"/>
      <c r="V237" s="134"/>
      <c r="W237" s="134"/>
      <c r="X237" s="355"/>
      <c r="Y237" s="469"/>
      <c r="Z237" s="290"/>
      <c r="AA237" s="94"/>
      <c r="AB237" s="648"/>
      <c r="AC237" s="94"/>
      <c r="AD237" s="94"/>
      <c r="AE237" s="607"/>
      <c r="AF237" s="211"/>
    </row>
    <row r="238" spans="1:32" s="112" customFormat="1" ht="15" customHeight="1" x14ac:dyDescent="0.25">
      <c r="B238" s="470" t="s">
        <v>451</v>
      </c>
      <c r="C238" s="318"/>
      <c r="D238" s="324"/>
      <c r="E238" s="100"/>
      <c r="F238" s="608"/>
      <c r="G238" s="94"/>
      <c r="H238" s="324"/>
      <c r="I238" s="100"/>
      <c r="J238" s="162"/>
      <c r="K238" s="164"/>
      <c r="L238" s="323"/>
      <c r="M238" s="323"/>
      <c r="N238" s="166"/>
      <c r="O238" s="323"/>
      <c r="P238" s="322"/>
      <c r="Q238" s="322"/>
      <c r="R238" s="322"/>
      <c r="S238" s="322"/>
      <c r="T238" s="134"/>
      <c r="U238" s="318"/>
      <c r="V238" s="134"/>
      <c r="W238" s="134"/>
      <c r="X238" s="355"/>
      <c r="Y238" s="469"/>
      <c r="Z238" s="290"/>
      <c r="AA238" s="94"/>
      <c r="AB238" s="648"/>
      <c r="AC238" s="94"/>
      <c r="AD238" s="94"/>
      <c r="AE238" s="607"/>
      <c r="AF238" s="211"/>
    </row>
    <row r="239" spans="1:32" s="112" customFormat="1" ht="15" customHeight="1" x14ac:dyDescent="0.25">
      <c r="B239" s="178" t="s">
        <v>421</v>
      </c>
      <c r="C239" s="318"/>
      <c r="D239" s="193" t="s">
        <v>50</v>
      </c>
      <c r="E239" s="100"/>
      <c r="F239" s="481">
        <v>1</v>
      </c>
      <c r="G239" s="94"/>
      <c r="H239" s="193" t="s">
        <v>51</v>
      </c>
      <c r="I239" s="100"/>
      <c r="J239" s="321">
        <v>2</v>
      </c>
      <c r="K239" s="164"/>
      <c r="L239" s="193"/>
      <c r="M239" s="317"/>
      <c r="N239" s="323"/>
      <c r="O239" s="323"/>
      <c r="P239" s="481">
        <f>+'Staff Detail'!B$27</f>
        <v>226.57906849315069</v>
      </c>
      <c r="Q239" s="322"/>
      <c r="R239" s="327">
        <f t="shared" ref="R239:R255" si="191">P239/$V$6</f>
        <v>64.736876712328765</v>
      </c>
      <c r="S239" s="322"/>
      <c r="T239" s="319">
        <f t="shared" ref="T239:T255" si="192">IF(N239=0,IF(J239=0,F239*P239,F239*J239*P239),F239*J239*N239*P239)</f>
        <v>453.15813698630137</v>
      </c>
      <c r="U239" s="317"/>
      <c r="V239" s="319">
        <f t="shared" ref="V239:V255" si="193">T239/$V$6</f>
        <v>129.47375342465753</v>
      </c>
      <c r="W239" s="320"/>
      <c r="X239" s="337">
        <f t="shared" ref="X239:X255" si="194">V239/$V$3</f>
        <v>4.8188670435694361E-5</v>
      </c>
      <c r="Y239" s="167"/>
      <c r="Z239" s="326">
        <f>V239/$V$601</f>
        <v>6.982094172405512E-5</v>
      </c>
      <c r="AA239" s="635">
        <v>1</v>
      </c>
      <c r="AB239" s="638">
        <f>+W239+V239*AA239</f>
        <v>129.47375342465753</v>
      </c>
      <c r="AC239" s="636">
        <f t="shared" ref="AC239:AC256" si="195">+AD239/V239</f>
        <v>0</v>
      </c>
      <c r="AD239" s="292">
        <f>+V239-AB239</f>
        <v>0</v>
      </c>
      <c r="AE239" s="607" t="s">
        <v>99</v>
      </c>
      <c r="AF239" s="211"/>
    </row>
    <row r="240" spans="1:32" s="112" customFormat="1" ht="15" customHeight="1" x14ac:dyDescent="0.25">
      <c r="B240" s="178" t="s">
        <v>453</v>
      </c>
      <c r="C240" s="318"/>
      <c r="D240" s="193" t="s">
        <v>50</v>
      </c>
      <c r="E240" s="100"/>
      <c r="F240" s="481">
        <v>1</v>
      </c>
      <c r="G240" s="94"/>
      <c r="H240" s="193" t="s">
        <v>51</v>
      </c>
      <c r="I240" s="100"/>
      <c r="J240" s="321">
        <v>2</v>
      </c>
      <c r="K240" s="164"/>
      <c r="L240" s="193"/>
      <c r="M240" s="317"/>
      <c r="N240" s="323"/>
      <c r="O240" s="323"/>
      <c r="P240" s="481">
        <f>+'Staff Detail'!D19+'Staff Detail'!B$20</f>
        <v>128.1</v>
      </c>
      <c r="Q240" s="322"/>
      <c r="R240" s="327">
        <f t="shared" ref="R240:R242" si="196">P240/$V$6</f>
        <v>36.6</v>
      </c>
      <c r="S240" s="322"/>
      <c r="T240" s="319">
        <f t="shared" ref="T240:T242" si="197">IF(N240=0,IF(J240=0,F240*P240,F240*J240*P240),F240*J240*N240*P240)</f>
        <v>256.2</v>
      </c>
      <c r="U240" s="317"/>
      <c r="V240" s="319">
        <f t="shared" ref="V240:V242" si="198">T240/$V$6</f>
        <v>73.2</v>
      </c>
      <c r="W240" s="320"/>
      <c r="X240" s="337">
        <f t="shared" ref="X240:X242" si="199">V240/$V$3</f>
        <v>2.7244214233315433E-5</v>
      </c>
      <c r="Y240" s="167"/>
      <c r="Z240" s="326">
        <f>V240/$V$601</f>
        <v>3.947435521883538E-5</v>
      </c>
      <c r="AA240" s="635">
        <v>1</v>
      </c>
      <c r="AB240" s="638">
        <f>+W240+V240*AA240</f>
        <v>73.2</v>
      </c>
      <c r="AC240" s="636">
        <f t="shared" ref="AC240:AC242" si="200">+AD240/V240</f>
        <v>0</v>
      </c>
      <c r="AD240" s="292">
        <f>+V240-AB240</f>
        <v>0</v>
      </c>
      <c r="AE240" s="607" t="s">
        <v>99</v>
      </c>
      <c r="AF240" s="211"/>
    </row>
    <row r="241" spans="1:32" s="112" customFormat="1" ht="15" customHeight="1" x14ac:dyDescent="0.25">
      <c r="B241" s="178" t="s">
        <v>456</v>
      </c>
      <c r="C241" s="318"/>
      <c r="D241" s="193" t="s">
        <v>50</v>
      </c>
      <c r="E241" s="100"/>
      <c r="F241" s="481">
        <v>1</v>
      </c>
      <c r="G241" s="94"/>
      <c r="H241" s="193" t="s">
        <v>51</v>
      </c>
      <c r="I241" s="100"/>
      <c r="J241" s="321">
        <v>2</v>
      </c>
      <c r="K241" s="164"/>
      <c r="L241" s="193"/>
      <c r="M241" s="317"/>
      <c r="N241" s="323"/>
      <c r="O241" s="323"/>
      <c r="P241" s="481">
        <f>+'Staff Detail'!B$30</f>
        <v>222.03625643835619</v>
      </c>
      <c r="Q241" s="322"/>
      <c r="R241" s="327">
        <f t="shared" si="196"/>
        <v>63.43893041095891</v>
      </c>
      <c r="S241" s="322"/>
      <c r="T241" s="319">
        <f t="shared" si="197"/>
        <v>444.07251287671238</v>
      </c>
      <c r="U241" s="317"/>
      <c r="V241" s="319">
        <f t="shared" si="198"/>
        <v>126.87786082191782</v>
      </c>
      <c r="W241" s="320"/>
      <c r="X241" s="337">
        <f t="shared" si="199"/>
        <v>4.7222508493129889E-5</v>
      </c>
      <c r="Y241" s="167"/>
      <c r="Z241" s="326">
        <f>V241/$V$601</f>
        <v>6.8421062124184975E-5</v>
      </c>
      <c r="AA241" s="635">
        <v>1</v>
      </c>
      <c r="AB241" s="638">
        <f>+W241+V241*AA241</f>
        <v>126.87786082191782</v>
      </c>
      <c r="AC241" s="636">
        <f t="shared" si="200"/>
        <v>0</v>
      </c>
      <c r="AD241" s="292">
        <f>+V241-AB241</f>
        <v>0</v>
      </c>
      <c r="AE241" s="607" t="s">
        <v>99</v>
      </c>
      <c r="AF241" s="211"/>
    </row>
    <row r="242" spans="1:32" s="112" customFormat="1" ht="15" customHeight="1" x14ac:dyDescent="0.25">
      <c r="B242" s="178" t="s">
        <v>418</v>
      </c>
      <c r="C242" s="318"/>
      <c r="D242" s="193" t="s">
        <v>50</v>
      </c>
      <c r="E242" s="100"/>
      <c r="F242" s="481">
        <v>1</v>
      </c>
      <c r="G242" s="94"/>
      <c r="H242" s="193" t="s">
        <v>51</v>
      </c>
      <c r="I242" s="100"/>
      <c r="J242" s="321">
        <v>1</v>
      </c>
      <c r="K242" s="164"/>
      <c r="L242" s="193"/>
      <c r="M242" s="317"/>
      <c r="N242" s="323"/>
      <c r="O242" s="323"/>
      <c r="P242" s="481">
        <f>+'Staff Detail'!B$38</f>
        <v>383.56164383561645</v>
      </c>
      <c r="Q242" s="322"/>
      <c r="R242" s="327">
        <f t="shared" si="196"/>
        <v>109.58904109589041</v>
      </c>
      <c r="S242" s="322"/>
      <c r="T242" s="319">
        <f t="shared" si="197"/>
        <v>383.56164383561645</v>
      </c>
      <c r="U242" s="317"/>
      <c r="V242" s="319">
        <f t="shared" si="198"/>
        <v>109.58904109589041</v>
      </c>
      <c r="W242" s="320"/>
      <c r="X242" s="337">
        <f t="shared" si="199"/>
        <v>4.0787804825683706E-5</v>
      </c>
      <c r="Y242" s="167"/>
      <c r="Z242" s="326">
        <f>V242/$V$601</f>
        <v>5.9097769621731233E-5</v>
      </c>
      <c r="AA242" s="635">
        <v>1</v>
      </c>
      <c r="AB242" s="638">
        <f>+W242+V242*AA242</f>
        <v>109.58904109589041</v>
      </c>
      <c r="AC242" s="636">
        <f t="shared" si="200"/>
        <v>0</v>
      </c>
      <c r="AD242" s="292">
        <f>+V242-AB242</f>
        <v>0</v>
      </c>
      <c r="AE242" s="607" t="s">
        <v>99</v>
      </c>
      <c r="AF242" s="211"/>
    </row>
    <row r="243" spans="1:32" s="112" customFormat="1" ht="15" customHeight="1" x14ac:dyDescent="0.25">
      <c r="B243" s="799" t="s">
        <v>207</v>
      </c>
      <c r="C243" s="318"/>
      <c r="D243" s="193"/>
      <c r="E243" s="100"/>
      <c r="F243" s="481"/>
      <c r="G243" s="94"/>
      <c r="H243" s="193"/>
      <c r="I243" s="100"/>
      <c r="J243" s="321"/>
      <c r="K243" s="164"/>
      <c r="L243" s="193"/>
      <c r="M243" s="317"/>
      <c r="N243" s="323"/>
      <c r="O243" s="323"/>
      <c r="P243" s="481"/>
      <c r="Q243" s="322"/>
      <c r="R243" s="327"/>
      <c r="S243" s="322"/>
      <c r="T243" s="319"/>
      <c r="U243" s="317"/>
      <c r="V243" s="319"/>
      <c r="W243" s="320"/>
      <c r="X243" s="337"/>
      <c r="Y243" s="167"/>
      <c r="Z243" s="326"/>
      <c r="AA243" s="635"/>
      <c r="AB243" s="638"/>
      <c r="AC243" s="636"/>
      <c r="AD243" s="292"/>
      <c r="AE243" s="607"/>
      <c r="AF243" s="211"/>
    </row>
    <row r="244" spans="1:32" s="112" customFormat="1" ht="15" customHeight="1" x14ac:dyDescent="0.25">
      <c r="B244" s="178" t="s">
        <v>453</v>
      </c>
      <c r="C244" s="318"/>
      <c r="D244" s="193" t="s">
        <v>50</v>
      </c>
      <c r="E244" s="100"/>
      <c r="F244" s="481">
        <v>1</v>
      </c>
      <c r="G244" s="94"/>
      <c r="H244" s="193" t="s">
        <v>51</v>
      </c>
      <c r="I244" s="100"/>
      <c r="J244" s="321">
        <v>2</v>
      </c>
      <c r="K244" s="164"/>
      <c r="L244" s="193"/>
      <c r="M244" s="317"/>
      <c r="N244" s="323"/>
      <c r="O244" s="323"/>
      <c r="P244" s="481">
        <f>+P240</f>
        <v>128.1</v>
      </c>
      <c r="Q244" s="322"/>
      <c r="R244" s="327">
        <f t="shared" ref="R244:R247" si="201">P244/$V$6</f>
        <v>36.6</v>
      </c>
      <c r="S244" s="322"/>
      <c r="T244" s="319">
        <f t="shared" ref="T244:T247" si="202">IF(N244=0,IF(J244=0,F244*P244,F244*J244*P244),F244*J244*N244*P244)</f>
        <v>256.2</v>
      </c>
      <c r="U244" s="317"/>
      <c r="V244" s="319">
        <f t="shared" ref="V244:V247" si="203">T244/$V$6</f>
        <v>73.2</v>
      </c>
      <c r="W244" s="320"/>
      <c r="X244" s="337">
        <f t="shared" ref="X244:X247" si="204">V244/$V$3</f>
        <v>2.7244214233315433E-5</v>
      </c>
      <c r="Y244" s="167"/>
      <c r="Z244" s="326">
        <f>V244/$V$601</f>
        <v>3.947435521883538E-5</v>
      </c>
      <c r="AA244" s="635">
        <v>1</v>
      </c>
      <c r="AB244" s="638">
        <f>+W244+V244*AA244</f>
        <v>73.2</v>
      </c>
      <c r="AC244" s="636">
        <f t="shared" ref="AC244:AC247" si="205">+AD244/V244</f>
        <v>0</v>
      </c>
      <c r="AD244" s="292">
        <f>+V244-AB244</f>
        <v>0</v>
      </c>
      <c r="AE244" s="607" t="s">
        <v>99</v>
      </c>
      <c r="AF244" s="211"/>
    </row>
    <row r="245" spans="1:32" s="112" customFormat="1" ht="15" customHeight="1" x14ac:dyDescent="0.25">
      <c r="B245" s="178" t="s">
        <v>421</v>
      </c>
      <c r="C245" s="318"/>
      <c r="D245" s="193" t="s">
        <v>50</v>
      </c>
      <c r="E245" s="100"/>
      <c r="F245" s="481">
        <v>1</v>
      </c>
      <c r="G245" s="94"/>
      <c r="H245" s="193" t="s">
        <v>51</v>
      </c>
      <c r="I245" s="100"/>
      <c r="J245" s="321">
        <v>2</v>
      </c>
      <c r="K245" s="164"/>
      <c r="L245" s="193"/>
      <c r="M245" s="317"/>
      <c r="N245" s="323"/>
      <c r="O245" s="323"/>
      <c r="P245" s="321">
        <f>+P239</f>
        <v>226.57906849315069</v>
      </c>
      <c r="Q245" s="322"/>
      <c r="R245" s="327">
        <f t="shared" si="201"/>
        <v>64.736876712328765</v>
      </c>
      <c r="S245" s="322"/>
      <c r="T245" s="319">
        <f t="shared" si="202"/>
        <v>453.15813698630137</v>
      </c>
      <c r="U245" s="317"/>
      <c r="V245" s="319">
        <f t="shared" si="203"/>
        <v>129.47375342465753</v>
      </c>
      <c r="W245" s="320"/>
      <c r="X245" s="337">
        <f t="shared" si="204"/>
        <v>4.8188670435694361E-5</v>
      </c>
      <c r="Y245" s="167"/>
      <c r="Z245" s="326">
        <f>V245/$V$601</f>
        <v>6.982094172405512E-5</v>
      </c>
      <c r="AA245" s="635">
        <v>1</v>
      </c>
      <c r="AB245" s="638">
        <f>+W245+V245*AA245</f>
        <v>129.47375342465753</v>
      </c>
      <c r="AC245" s="636">
        <f t="shared" si="205"/>
        <v>0</v>
      </c>
      <c r="AD245" s="292">
        <f>+V245-AB245</f>
        <v>0</v>
      </c>
      <c r="AE245" s="607" t="s">
        <v>99</v>
      </c>
      <c r="AF245" s="211"/>
    </row>
    <row r="246" spans="1:32" s="112" customFormat="1" ht="15" customHeight="1" x14ac:dyDescent="0.25">
      <c r="B246" s="178" t="s">
        <v>456</v>
      </c>
      <c r="C246" s="318"/>
      <c r="D246" s="193" t="s">
        <v>50</v>
      </c>
      <c r="E246" s="100"/>
      <c r="F246" s="481">
        <v>1</v>
      </c>
      <c r="G246" s="94"/>
      <c r="H246" s="193" t="s">
        <v>51</v>
      </c>
      <c r="I246" s="100"/>
      <c r="J246" s="321">
        <v>2</v>
      </c>
      <c r="K246" s="164"/>
      <c r="L246" s="193"/>
      <c r="M246" s="317"/>
      <c r="N246" s="323"/>
      <c r="O246" s="323"/>
      <c r="P246" s="481">
        <f>+P241</f>
        <v>222.03625643835619</v>
      </c>
      <c r="Q246" s="322"/>
      <c r="R246" s="327">
        <f t="shared" si="201"/>
        <v>63.43893041095891</v>
      </c>
      <c r="S246" s="322"/>
      <c r="T246" s="319">
        <f t="shared" si="202"/>
        <v>444.07251287671238</v>
      </c>
      <c r="U246" s="317"/>
      <c r="V246" s="319">
        <f t="shared" si="203"/>
        <v>126.87786082191782</v>
      </c>
      <c r="W246" s="320"/>
      <c r="X246" s="337">
        <f t="shared" si="204"/>
        <v>4.7222508493129889E-5</v>
      </c>
      <c r="Y246" s="167"/>
      <c r="Z246" s="326">
        <f>V246/$V$601</f>
        <v>6.8421062124184975E-5</v>
      </c>
      <c r="AA246" s="635">
        <v>1</v>
      </c>
      <c r="AB246" s="638">
        <f>+W246+V246*AA246</f>
        <v>126.87786082191782</v>
      </c>
      <c r="AC246" s="636">
        <f t="shared" si="205"/>
        <v>0</v>
      </c>
      <c r="AD246" s="292">
        <f>+V246-AB246</f>
        <v>0</v>
      </c>
      <c r="AE246" s="607" t="s">
        <v>99</v>
      </c>
      <c r="AF246" s="211"/>
    </row>
    <row r="247" spans="1:32" s="112" customFormat="1" ht="15" customHeight="1" x14ac:dyDescent="0.25">
      <c r="B247" s="178" t="s">
        <v>418</v>
      </c>
      <c r="C247" s="318"/>
      <c r="D247" s="193" t="s">
        <v>50</v>
      </c>
      <c r="E247" s="100"/>
      <c r="F247" s="481">
        <v>1</v>
      </c>
      <c r="G247" s="94"/>
      <c r="H247" s="193" t="s">
        <v>51</v>
      </c>
      <c r="I247" s="100"/>
      <c r="J247" s="321">
        <v>1</v>
      </c>
      <c r="K247" s="164"/>
      <c r="L247" s="193"/>
      <c r="M247" s="317"/>
      <c r="N247" s="323"/>
      <c r="O247" s="323"/>
      <c r="P247" s="481">
        <f>+P242</f>
        <v>383.56164383561645</v>
      </c>
      <c r="Q247" s="322"/>
      <c r="R247" s="327">
        <f t="shared" si="201"/>
        <v>109.58904109589041</v>
      </c>
      <c r="S247" s="322"/>
      <c r="T247" s="319">
        <f t="shared" si="202"/>
        <v>383.56164383561645</v>
      </c>
      <c r="U247" s="317"/>
      <c r="V247" s="319">
        <f t="shared" si="203"/>
        <v>109.58904109589041</v>
      </c>
      <c r="W247" s="320"/>
      <c r="X247" s="337">
        <f t="shared" si="204"/>
        <v>4.0787804825683706E-5</v>
      </c>
      <c r="Y247" s="167"/>
      <c r="Z247" s="326">
        <f>V247/$V$601</f>
        <v>5.9097769621731233E-5</v>
      </c>
      <c r="AA247" s="635">
        <v>1</v>
      </c>
      <c r="AB247" s="638">
        <f>+W247+V247*AA247</f>
        <v>109.58904109589041</v>
      </c>
      <c r="AC247" s="636">
        <f t="shared" si="205"/>
        <v>0</v>
      </c>
      <c r="AD247" s="292">
        <f>+V247-AB247</f>
        <v>0</v>
      </c>
      <c r="AE247" s="607" t="s">
        <v>99</v>
      </c>
      <c r="AF247" s="211"/>
    </row>
    <row r="248" spans="1:32" s="112" customFormat="1" ht="15" customHeight="1" x14ac:dyDescent="0.25">
      <c r="B248" s="799" t="s">
        <v>208</v>
      </c>
      <c r="C248" s="318"/>
      <c r="D248" s="193"/>
      <c r="E248" s="100"/>
      <c r="F248" s="481"/>
      <c r="G248" s="94"/>
      <c r="H248" s="193"/>
      <c r="I248" s="100"/>
      <c r="J248" s="321"/>
      <c r="K248" s="164"/>
      <c r="L248" s="193"/>
      <c r="M248" s="317"/>
      <c r="N248" s="323"/>
      <c r="O248" s="323"/>
      <c r="P248" s="481"/>
      <c r="Q248" s="322"/>
      <c r="R248" s="327"/>
      <c r="S248" s="322"/>
      <c r="T248" s="319"/>
      <c r="U248" s="317"/>
      <c r="V248" s="319"/>
      <c r="W248" s="320"/>
      <c r="X248" s="337"/>
      <c r="Y248" s="167"/>
      <c r="Z248" s="326"/>
      <c r="AA248" s="635"/>
      <c r="AB248" s="638"/>
      <c r="AC248" s="636"/>
      <c r="AD248" s="292"/>
      <c r="AE248" s="607"/>
      <c r="AF248" s="211"/>
    </row>
    <row r="249" spans="1:32" s="112" customFormat="1" ht="15" customHeight="1" x14ac:dyDescent="0.25">
      <c r="B249" s="178" t="s">
        <v>453</v>
      </c>
      <c r="C249" s="318"/>
      <c r="D249" s="193" t="s">
        <v>50</v>
      </c>
      <c r="E249" s="100"/>
      <c r="F249" s="481">
        <v>1</v>
      </c>
      <c r="G249" s="94"/>
      <c r="H249" s="193" t="s">
        <v>51</v>
      </c>
      <c r="I249" s="100"/>
      <c r="J249" s="321">
        <v>2</v>
      </c>
      <c r="K249" s="164"/>
      <c r="L249" s="193"/>
      <c r="M249" s="317"/>
      <c r="N249" s="323"/>
      <c r="O249" s="323"/>
      <c r="P249" s="481">
        <f>+P244</f>
        <v>128.1</v>
      </c>
      <c r="Q249" s="322"/>
      <c r="R249" s="327">
        <f t="shared" ref="R249:R254" si="206">P249/$V$6</f>
        <v>36.6</v>
      </c>
      <c r="S249" s="322"/>
      <c r="T249" s="319">
        <f t="shared" ref="T249:T254" si="207">IF(N249=0,IF(J249=0,F249*P249,F249*J249*P249),F249*J249*N249*P249)</f>
        <v>256.2</v>
      </c>
      <c r="U249" s="317"/>
      <c r="V249" s="319">
        <f t="shared" ref="V249:V254" si="208">T249/$V$6</f>
        <v>73.2</v>
      </c>
      <c r="W249" s="320"/>
      <c r="X249" s="337">
        <f t="shared" ref="X249:X254" si="209">V249/$V$3</f>
        <v>2.7244214233315433E-5</v>
      </c>
      <c r="Y249" s="167"/>
      <c r="Z249" s="326">
        <f t="shared" ref="Z249:Z257" si="210">V249/$V$601</f>
        <v>3.947435521883538E-5</v>
      </c>
      <c r="AA249" s="635">
        <v>1</v>
      </c>
      <c r="AB249" s="638">
        <f t="shared" ref="AB249:AB256" si="211">+W249+V249*AA249</f>
        <v>73.2</v>
      </c>
      <c r="AC249" s="636">
        <f t="shared" ref="AC249:AC254" si="212">+AD249/V249</f>
        <v>0</v>
      </c>
      <c r="AD249" s="292">
        <f t="shared" ref="AD249:AD256" si="213">+V249-AB249</f>
        <v>0</v>
      </c>
      <c r="AE249" s="607" t="s">
        <v>99</v>
      </c>
      <c r="AF249" s="211"/>
    </row>
    <row r="250" spans="1:32" s="112" customFormat="1" ht="15" customHeight="1" x14ac:dyDescent="0.25">
      <c r="B250" s="178" t="s">
        <v>421</v>
      </c>
      <c r="C250" s="318"/>
      <c r="D250" s="193" t="s">
        <v>50</v>
      </c>
      <c r="E250" s="100"/>
      <c r="F250" s="481">
        <v>1</v>
      </c>
      <c r="G250" s="94"/>
      <c r="H250" s="193" t="s">
        <v>51</v>
      </c>
      <c r="I250" s="100"/>
      <c r="J250" s="321">
        <v>2</v>
      </c>
      <c r="K250" s="164"/>
      <c r="L250" s="193"/>
      <c r="M250" s="317"/>
      <c r="N250" s="323"/>
      <c r="O250" s="323"/>
      <c r="P250" s="481">
        <f>+P245</f>
        <v>226.57906849315069</v>
      </c>
      <c r="Q250" s="322"/>
      <c r="R250" s="327">
        <f t="shared" si="206"/>
        <v>64.736876712328765</v>
      </c>
      <c r="S250" s="322"/>
      <c r="T250" s="319">
        <f t="shared" si="207"/>
        <v>453.15813698630137</v>
      </c>
      <c r="U250" s="317"/>
      <c r="V250" s="319">
        <f t="shared" si="208"/>
        <v>129.47375342465753</v>
      </c>
      <c r="W250" s="320"/>
      <c r="X250" s="337">
        <f t="shared" si="209"/>
        <v>4.8188670435694361E-5</v>
      </c>
      <c r="Y250" s="167"/>
      <c r="Z250" s="326">
        <f t="shared" si="210"/>
        <v>6.982094172405512E-5</v>
      </c>
      <c r="AA250" s="635">
        <v>1</v>
      </c>
      <c r="AB250" s="638">
        <f t="shared" si="211"/>
        <v>129.47375342465753</v>
      </c>
      <c r="AC250" s="636">
        <f t="shared" si="212"/>
        <v>0</v>
      </c>
      <c r="AD250" s="292">
        <f t="shared" si="213"/>
        <v>0</v>
      </c>
      <c r="AE250" s="607" t="s">
        <v>99</v>
      </c>
      <c r="AF250" s="211"/>
    </row>
    <row r="251" spans="1:32" s="112" customFormat="1" ht="15" customHeight="1" x14ac:dyDescent="0.25">
      <c r="B251" s="178" t="s">
        <v>456</v>
      </c>
      <c r="C251" s="318"/>
      <c r="D251" s="193" t="s">
        <v>50</v>
      </c>
      <c r="E251" s="100"/>
      <c r="F251" s="481">
        <v>1</v>
      </c>
      <c r="G251" s="94"/>
      <c r="H251" s="193" t="s">
        <v>51</v>
      </c>
      <c r="I251" s="100"/>
      <c r="J251" s="321">
        <v>2</v>
      </c>
      <c r="K251" s="164"/>
      <c r="L251" s="193"/>
      <c r="M251" s="317"/>
      <c r="N251" s="323"/>
      <c r="O251" s="323"/>
      <c r="P251" s="481">
        <f>+P246</f>
        <v>222.03625643835619</v>
      </c>
      <c r="Q251" s="322"/>
      <c r="R251" s="327">
        <f t="shared" si="206"/>
        <v>63.43893041095891</v>
      </c>
      <c r="S251" s="322"/>
      <c r="T251" s="319">
        <f t="shared" si="207"/>
        <v>444.07251287671238</v>
      </c>
      <c r="U251" s="317"/>
      <c r="V251" s="319">
        <f t="shared" si="208"/>
        <v>126.87786082191782</v>
      </c>
      <c r="W251" s="320"/>
      <c r="X251" s="337">
        <f t="shared" si="209"/>
        <v>4.7222508493129889E-5</v>
      </c>
      <c r="Y251" s="167"/>
      <c r="Z251" s="326">
        <f t="shared" si="210"/>
        <v>6.8421062124184975E-5</v>
      </c>
      <c r="AA251" s="635">
        <v>1</v>
      </c>
      <c r="AB251" s="638">
        <f t="shared" si="211"/>
        <v>126.87786082191782</v>
      </c>
      <c r="AC251" s="636">
        <f t="shared" si="212"/>
        <v>0</v>
      </c>
      <c r="AD251" s="292">
        <f t="shared" si="213"/>
        <v>0</v>
      </c>
      <c r="AE251" s="607" t="s">
        <v>99</v>
      </c>
      <c r="AF251" s="211"/>
    </row>
    <row r="252" spans="1:32" s="112" customFormat="1" ht="15" customHeight="1" x14ac:dyDescent="0.25">
      <c r="B252" s="178" t="s">
        <v>418</v>
      </c>
      <c r="C252" s="318"/>
      <c r="D252" s="193" t="s">
        <v>50</v>
      </c>
      <c r="E252" s="100"/>
      <c r="F252" s="481">
        <v>1</v>
      </c>
      <c r="G252" s="94"/>
      <c r="H252" s="193" t="s">
        <v>51</v>
      </c>
      <c r="I252" s="100"/>
      <c r="J252" s="321">
        <v>1</v>
      </c>
      <c r="K252" s="164"/>
      <c r="L252" s="193"/>
      <c r="M252" s="317"/>
      <c r="N252" s="323"/>
      <c r="O252" s="323"/>
      <c r="P252" s="481">
        <f>+P247</f>
        <v>383.56164383561645</v>
      </c>
      <c r="Q252" s="322"/>
      <c r="R252" s="327">
        <f t="shared" si="206"/>
        <v>109.58904109589041</v>
      </c>
      <c r="S252" s="322"/>
      <c r="T252" s="319">
        <f t="shared" si="207"/>
        <v>383.56164383561645</v>
      </c>
      <c r="U252" s="317"/>
      <c r="V252" s="319">
        <f t="shared" si="208"/>
        <v>109.58904109589041</v>
      </c>
      <c r="W252" s="320"/>
      <c r="X252" s="337">
        <f t="shared" si="209"/>
        <v>4.0787804825683706E-5</v>
      </c>
      <c r="Y252" s="167"/>
      <c r="Z252" s="326">
        <f t="shared" si="210"/>
        <v>5.9097769621731233E-5</v>
      </c>
      <c r="AA252" s="635">
        <v>1</v>
      </c>
      <c r="AB252" s="638">
        <f t="shared" si="211"/>
        <v>109.58904109589041</v>
      </c>
      <c r="AC252" s="636">
        <f t="shared" si="212"/>
        <v>0</v>
      </c>
      <c r="AD252" s="292">
        <f t="shared" si="213"/>
        <v>0</v>
      </c>
      <c r="AE252" s="607" t="s">
        <v>99</v>
      </c>
      <c r="AF252" s="211"/>
    </row>
    <row r="253" spans="1:32" s="112" customFormat="1" ht="15" customHeight="1" x14ac:dyDescent="0.25">
      <c r="B253" s="178" t="s">
        <v>457</v>
      </c>
      <c r="C253" s="318"/>
      <c r="D253" s="193" t="s">
        <v>50</v>
      </c>
      <c r="E253" s="100"/>
      <c r="F253" s="481">
        <v>1</v>
      </c>
      <c r="G253" s="94"/>
      <c r="H253" s="193" t="s">
        <v>51</v>
      </c>
      <c r="I253" s="100"/>
      <c r="J253" s="321">
        <v>1</v>
      </c>
      <c r="K253" s="164"/>
      <c r="L253" s="193"/>
      <c r="M253" s="100"/>
      <c r="N253" s="323"/>
      <c r="O253" s="165"/>
      <c r="P253" s="481">
        <f>+'Staff Detail'!B$43</f>
        <v>1582.1917808219177</v>
      </c>
      <c r="Q253" s="322"/>
      <c r="R253" s="327">
        <f t="shared" si="206"/>
        <v>452.05479452054794</v>
      </c>
      <c r="S253" s="322"/>
      <c r="T253" s="319">
        <f t="shared" si="207"/>
        <v>1582.1917808219177</v>
      </c>
      <c r="U253" s="317"/>
      <c r="V253" s="319">
        <f t="shared" si="208"/>
        <v>452.05479452054794</v>
      </c>
      <c r="W253" s="320"/>
      <c r="X253" s="337">
        <f t="shared" si="209"/>
        <v>1.6824969490594529E-4</v>
      </c>
      <c r="Y253" s="167"/>
      <c r="Z253" s="326">
        <f t="shared" si="210"/>
        <v>2.4377829968964134E-4</v>
      </c>
      <c r="AA253" s="635">
        <v>1</v>
      </c>
      <c r="AB253" s="638">
        <f t="shared" si="211"/>
        <v>452.05479452054794</v>
      </c>
      <c r="AC253" s="636">
        <f t="shared" si="212"/>
        <v>0</v>
      </c>
      <c r="AD253" s="292">
        <f t="shared" si="213"/>
        <v>0</v>
      </c>
      <c r="AE253" s="607" t="s">
        <v>99</v>
      </c>
      <c r="AF253" s="211"/>
    </row>
    <row r="254" spans="1:32" s="112" customFormat="1" ht="15" customHeight="1" x14ac:dyDescent="0.25">
      <c r="B254" s="178" t="s">
        <v>458</v>
      </c>
      <c r="C254" s="318"/>
      <c r="D254" s="193" t="s">
        <v>50</v>
      </c>
      <c r="E254" s="100"/>
      <c r="F254" s="481">
        <v>1</v>
      </c>
      <c r="G254" s="94"/>
      <c r="H254" s="193" t="s">
        <v>51</v>
      </c>
      <c r="I254" s="100"/>
      <c r="J254" s="321">
        <v>1</v>
      </c>
      <c r="K254" s="164"/>
      <c r="L254" s="193"/>
      <c r="M254" s="100"/>
      <c r="N254" s="323"/>
      <c r="O254" s="165"/>
      <c r="P254" s="481">
        <f>+'Staff Detail'!B$45</f>
        <v>1582.1917808219177</v>
      </c>
      <c r="Q254" s="322"/>
      <c r="R254" s="327">
        <f t="shared" si="206"/>
        <v>452.05479452054794</v>
      </c>
      <c r="S254" s="322"/>
      <c r="T254" s="319">
        <f t="shared" si="207"/>
        <v>1582.1917808219177</v>
      </c>
      <c r="U254" s="317"/>
      <c r="V254" s="319">
        <f t="shared" si="208"/>
        <v>452.05479452054794</v>
      </c>
      <c r="W254" s="320"/>
      <c r="X254" s="337">
        <f t="shared" si="209"/>
        <v>1.6824969490594529E-4</v>
      </c>
      <c r="Y254" s="167"/>
      <c r="Z254" s="326">
        <f t="shared" si="210"/>
        <v>2.4377829968964134E-4</v>
      </c>
      <c r="AA254" s="635">
        <v>1</v>
      </c>
      <c r="AB254" s="638">
        <f t="shared" si="211"/>
        <v>452.05479452054794</v>
      </c>
      <c r="AC254" s="636">
        <f t="shared" si="212"/>
        <v>0</v>
      </c>
      <c r="AD254" s="292">
        <f t="shared" si="213"/>
        <v>0</v>
      </c>
      <c r="AE254" s="607" t="s">
        <v>99</v>
      </c>
      <c r="AF254" s="211"/>
    </row>
    <row r="255" spans="1:32" s="112" customFormat="1" ht="15" customHeight="1" x14ac:dyDescent="0.25">
      <c r="B255" s="178" t="s">
        <v>17</v>
      </c>
      <c r="C255" s="318"/>
      <c r="D255" s="193" t="s">
        <v>98</v>
      </c>
      <c r="E255" s="317"/>
      <c r="F255" s="606">
        <v>0</v>
      </c>
      <c r="G255" s="317"/>
      <c r="H255" s="193" t="s">
        <v>54</v>
      </c>
      <c r="I255" s="100"/>
      <c r="J255" s="321">
        <v>0</v>
      </c>
      <c r="K255" s="164"/>
      <c r="L255" s="193" t="s">
        <v>51</v>
      </c>
      <c r="M255" s="163"/>
      <c r="N255" s="321">
        <v>1</v>
      </c>
      <c r="O255" s="165"/>
      <c r="P255" s="321">
        <v>0</v>
      </c>
      <c r="Q255" s="322"/>
      <c r="R255" s="327">
        <f t="shared" si="191"/>
        <v>0</v>
      </c>
      <c r="S255" s="322"/>
      <c r="T255" s="319">
        <f t="shared" si="192"/>
        <v>0</v>
      </c>
      <c r="U255" s="317"/>
      <c r="V255" s="319">
        <f t="shared" si="193"/>
        <v>0</v>
      </c>
      <c r="W255" s="320"/>
      <c r="X255" s="337">
        <f t="shared" si="194"/>
        <v>0</v>
      </c>
      <c r="Y255" s="167"/>
      <c r="Z255" s="326">
        <f t="shared" si="210"/>
        <v>0</v>
      </c>
      <c r="AA255" s="635">
        <v>1</v>
      </c>
      <c r="AB255" s="638">
        <f t="shared" si="211"/>
        <v>0</v>
      </c>
      <c r="AC255" s="636" t="e">
        <f t="shared" si="195"/>
        <v>#DIV/0!</v>
      </c>
      <c r="AD255" s="292">
        <f t="shared" si="213"/>
        <v>0</v>
      </c>
      <c r="AE255" s="611" t="s">
        <v>55</v>
      </c>
      <c r="AF255" s="211"/>
    </row>
    <row r="256" spans="1:32" s="112" customFormat="1" ht="15" customHeight="1" x14ac:dyDescent="0.25">
      <c r="A256" s="112" t="s">
        <v>523</v>
      </c>
      <c r="B256" s="495" t="s">
        <v>96</v>
      </c>
      <c r="C256" s="262"/>
      <c r="D256" s="496"/>
      <c r="E256" s="101"/>
      <c r="F256" s="497"/>
      <c r="G256" s="101"/>
      <c r="H256" s="496"/>
      <c r="I256" s="101"/>
      <c r="J256" s="498"/>
      <c r="K256" s="497"/>
      <c r="L256" s="499"/>
      <c r="M256" s="499"/>
      <c r="N256" s="500"/>
      <c r="O256" s="499"/>
      <c r="P256" s="497"/>
      <c r="Q256" s="497"/>
      <c r="R256" s="497"/>
      <c r="S256" s="497"/>
      <c r="T256" s="501">
        <f>SUM(T252:T255)</f>
        <v>3547.9452054794519</v>
      </c>
      <c r="U256" s="262"/>
      <c r="V256" s="501">
        <f>SUM(V252:V255)</f>
        <v>1013.6986301369863</v>
      </c>
      <c r="W256" s="134"/>
      <c r="X256" s="502">
        <f>SUM(X239:X255)</f>
        <v>8.268289837753607E-4</v>
      </c>
      <c r="Y256" s="469"/>
      <c r="Z256" s="503">
        <f t="shared" si="210"/>
        <v>5.4665436900101392E-4</v>
      </c>
      <c r="AA256" s="635">
        <v>1</v>
      </c>
      <c r="AB256" s="638">
        <f t="shared" si="211"/>
        <v>1013.6986301369863</v>
      </c>
      <c r="AC256" s="636">
        <f t="shared" si="195"/>
        <v>0</v>
      </c>
      <c r="AD256" s="292">
        <f t="shared" si="213"/>
        <v>0</v>
      </c>
      <c r="AE256" s="718"/>
      <c r="AF256" s="211"/>
    </row>
    <row r="257" spans="1:32" s="507" customFormat="1" ht="22.5" customHeight="1" x14ac:dyDescent="0.25">
      <c r="A257" s="507" t="s">
        <v>305</v>
      </c>
      <c r="B257" s="508" t="s">
        <v>167</v>
      </c>
      <c r="C257" s="509"/>
      <c r="D257" s="510"/>
      <c r="E257" s="509"/>
      <c r="F257" s="511"/>
      <c r="G257" s="509"/>
      <c r="H257" s="510"/>
      <c r="I257" s="509"/>
      <c r="J257" s="511"/>
      <c r="K257" s="511"/>
      <c r="L257" s="512"/>
      <c r="M257" s="512"/>
      <c r="N257" s="512"/>
      <c r="O257" s="512"/>
      <c r="P257" s="511"/>
      <c r="Q257" s="511"/>
      <c r="R257" s="511"/>
      <c r="S257" s="511"/>
      <c r="T257" s="513">
        <f>+T256+T146</f>
        <v>220859.84165068492</v>
      </c>
      <c r="U257" s="509"/>
      <c r="V257" s="513">
        <f>+V256+V146</f>
        <v>63099.95475733855</v>
      </c>
      <c r="W257" s="513"/>
      <c r="X257" s="834">
        <f>+X256+X146</f>
        <v>3.4944587296670666E-2</v>
      </c>
      <c r="Y257" s="514"/>
      <c r="Z257" s="515">
        <f t="shared" si="210"/>
        <v>3.4027732628191573E-2</v>
      </c>
      <c r="AA257" s="513"/>
      <c r="AB257" s="513">
        <f>+AB256+AB146</f>
        <v>34670.202750489232</v>
      </c>
      <c r="AC257" s="513"/>
      <c r="AD257" s="513">
        <f>+AD256+AD146</f>
        <v>28429.752006849318</v>
      </c>
      <c r="AE257" s="719"/>
      <c r="AF257" s="516"/>
    </row>
    <row r="258" spans="1:32" s="112" customFormat="1" ht="15" customHeight="1" x14ac:dyDescent="0.25">
      <c r="B258" s="470"/>
      <c r="C258" s="265"/>
      <c r="D258" s="266"/>
      <c r="E258" s="504"/>
      <c r="F258" s="162"/>
      <c r="G258" s="505"/>
      <c r="H258" s="266"/>
      <c r="I258" s="504"/>
      <c r="J258" s="162"/>
      <c r="K258" s="506"/>
      <c r="L258" s="166"/>
      <c r="M258" s="166"/>
      <c r="N258" s="166"/>
      <c r="O258" s="166"/>
      <c r="P258" s="162"/>
      <c r="Q258" s="162"/>
      <c r="R258" s="162"/>
      <c r="S258" s="162"/>
      <c r="T258" s="134"/>
      <c r="U258" s="265"/>
      <c r="V258" s="134"/>
      <c r="W258" s="134"/>
      <c r="X258" s="355"/>
      <c r="Y258" s="469"/>
      <c r="Z258" s="290"/>
      <c r="AA258" s="505"/>
      <c r="AB258" s="649"/>
      <c r="AC258" s="505"/>
      <c r="AD258" s="505"/>
      <c r="AE258" s="720"/>
      <c r="AF258" s="211"/>
    </row>
    <row r="259" spans="1:32" s="112" customFormat="1" ht="15" customHeight="1" x14ac:dyDescent="0.25">
      <c r="B259" s="470"/>
      <c r="C259" s="318"/>
      <c r="D259" s="324"/>
      <c r="E259" s="100"/>
      <c r="F259" s="322"/>
      <c r="G259" s="94"/>
      <c r="H259" s="324"/>
      <c r="I259" s="100"/>
      <c r="J259" s="162"/>
      <c r="K259" s="164"/>
      <c r="L259" s="323"/>
      <c r="M259" s="323"/>
      <c r="N259" s="166"/>
      <c r="O259" s="323"/>
      <c r="P259" s="322"/>
      <c r="Q259" s="322"/>
      <c r="R259" s="322"/>
      <c r="S259" s="322"/>
      <c r="T259" s="134"/>
      <c r="U259" s="318"/>
      <c r="V259" s="134"/>
      <c r="W259" s="134"/>
      <c r="X259" s="355"/>
      <c r="Y259" s="469"/>
      <c r="Z259" s="290"/>
      <c r="AA259" s="94"/>
      <c r="AB259" s="648"/>
      <c r="AC259" s="94"/>
      <c r="AD259" s="94"/>
      <c r="AE259" s="607"/>
      <c r="AF259" s="211"/>
    </row>
    <row r="260" spans="1:32" s="112" customFormat="1" x14ac:dyDescent="0.25">
      <c r="B260" s="269" t="s">
        <v>89</v>
      </c>
      <c r="C260" s="270"/>
      <c r="D260" s="271"/>
      <c r="E260" s="272"/>
      <c r="F260" s="272"/>
      <c r="G260" s="272"/>
      <c r="H260" s="271"/>
      <c r="I260" s="272"/>
      <c r="J260" s="272"/>
      <c r="K260" s="272"/>
      <c r="L260" s="272"/>
      <c r="M260" s="272"/>
      <c r="N260" s="272"/>
      <c r="O260" s="272"/>
      <c r="P260" s="272"/>
      <c r="Q260" s="272"/>
      <c r="R260" s="272"/>
      <c r="S260" s="272"/>
      <c r="T260" s="272"/>
      <c r="U260" s="272"/>
      <c r="V260" s="272"/>
      <c r="W260" s="272"/>
      <c r="X260" s="335"/>
      <c r="Y260" s="273"/>
      <c r="Z260" s="273"/>
      <c r="AA260" s="272"/>
      <c r="AB260" s="642"/>
      <c r="AC260" s="272"/>
      <c r="AD260" s="634"/>
      <c r="AE260" s="713"/>
      <c r="AF260" s="211"/>
    </row>
    <row r="261" spans="1:32" s="112" customFormat="1" ht="15" customHeight="1" x14ac:dyDescent="0.25">
      <c r="B261" s="177" t="s">
        <v>151</v>
      </c>
      <c r="C261" s="318"/>
      <c r="D261" s="324"/>
      <c r="E261" s="100"/>
      <c r="F261" s="322"/>
      <c r="G261" s="94"/>
      <c r="H261" s="324"/>
      <c r="I261" s="100"/>
      <c r="J261" s="162"/>
      <c r="K261" s="164"/>
      <c r="L261" s="323"/>
      <c r="M261" s="323"/>
      <c r="N261" s="166"/>
      <c r="O261" s="323"/>
      <c r="P261" s="322"/>
      <c r="Q261" s="322"/>
      <c r="R261" s="322"/>
      <c r="S261" s="322"/>
      <c r="T261" s="302"/>
      <c r="U261" s="318"/>
      <c r="V261" s="302"/>
      <c r="W261" s="134"/>
      <c r="X261" s="344"/>
      <c r="Y261" s="240"/>
      <c r="Z261" s="290"/>
      <c r="AA261" s="94"/>
      <c r="AB261" s="648"/>
      <c r="AC261" s="94"/>
      <c r="AD261" s="94"/>
      <c r="AE261" s="607"/>
      <c r="AF261" s="211"/>
    </row>
    <row r="262" spans="1:32" s="112" customFormat="1" ht="15" customHeight="1" x14ac:dyDescent="0.25">
      <c r="B262" s="177" t="s">
        <v>451</v>
      </c>
      <c r="C262" s="318"/>
      <c r="D262" s="324"/>
      <c r="E262" s="100"/>
      <c r="F262" s="322"/>
      <c r="G262" s="94"/>
      <c r="H262" s="324"/>
      <c r="I262" s="100"/>
      <c r="J262" s="162"/>
      <c r="K262" s="164"/>
      <c r="L262" s="323"/>
      <c r="M262" s="323"/>
      <c r="N262" s="166"/>
      <c r="O262" s="323"/>
      <c r="P262" s="322"/>
      <c r="Q262" s="322"/>
      <c r="R262" s="322"/>
      <c r="S262" s="322"/>
      <c r="T262" s="302"/>
      <c r="U262" s="318"/>
      <c r="V262" s="302"/>
      <c r="W262" s="134"/>
      <c r="X262" s="344"/>
      <c r="Y262" s="240"/>
      <c r="Z262" s="290"/>
      <c r="AA262" s="94"/>
      <c r="AB262" s="648"/>
      <c r="AC262" s="94"/>
      <c r="AD262" s="94"/>
      <c r="AE262" s="607"/>
      <c r="AF262" s="211"/>
    </row>
    <row r="263" spans="1:32" s="491" customFormat="1" ht="15" customHeight="1" x14ac:dyDescent="0.25">
      <c r="B263" s="178" t="s">
        <v>497</v>
      </c>
      <c r="C263" s="478"/>
      <c r="D263" s="479" t="s">
        <v>50</v>
      </c>
      <c r="E263" s="482"/>
      <c r="F263" s="481">
        <v>1</v>
      </c>
      <c r="G263" s="659"/>
      <c r="H263" s="479" t="s">
        <v>51</v>
      </c>
      <c r="I263" s="482"/>
      <c r="J263" s="481">
        <v>6</v>
      </c>
      <c r="K263" s="541"/>
      <c r="L263" s="479"/>
      <c r="M263" s="480"/>
      <c r="N263" s="478"/>
      <c r="O263" s="478"/>
      <c r="P263" s="481">
        <f>+'Staff Detail'!B$21</f>
        <v>119.56</v>
      </c>
      <c r="Q263" s="483"/>
      <c r="R263" s="484">
        <f t="shared" ref="R263:R278" si="214">P263/$V$6</f>
        <v>34.160000000000004</v>
      </c>
      <c r="S263" s="483"/>
      <c r="T263" s="485">
        <f t="shared" ref="T263:T278" si="215">IF(N263=0,IF(J263=0,F263*P263,F263*J263*P263),F263*J263*N263*P263)</f>
        <v>717.36</v>
      </c>
      <c r="U263" s="480"/>
      <c r="V263" s="485">
        <f t="shared" ref="V263:V278" si="216">T263/$V$6</f>
        <v>204.96</v>
      </c>
      <c r="W263" s="486"/>
      <c r="X263" s="487">
        <f t="shared" ref="X263:X278" si="217">V263/$V$3</f>
        <v>7.6283799853283204E-5</v>
      </c>
      <c r="Y263" s="488"/>
      <c r="Z263" s="489">
        <f>V263/$V$601</f>
        <v>1.1052819461273906E-4</v>
      </c>
      <c r="AA263" s="660">
        <v>1</v>
      </c>
      <c r="AB263" s="661">
        <f>+W263+V263*AA263</f>
        <v>204.96</v>
      </c>
      <c r="AC263" s="662">
        <f t="shared" ref="AC263:AC278" si="218">+AD263/V263</f>
        <v>0</v>
      </c>
      <c r="AD263" s="483">
        <f>+V263-AB263</f>
        <v>0</v>
      </c>
      <c r="AE263" s="480" t="s">
        <v>99</v>
      </c>
      <c r="AF263" s="490"/>
    </row>
    <row r="264" spans="1:32" s="491" customFormat="1" ht="15" customHeight="1" x14ac:dyDescent="0.25">
      <c r="B264" s="178" t="s">
        <v>140</v>
      </c>
      <c r="C264" s="478"/>
      <c r="D264" s="479" t="s">
        <v>50</v>
      </c>
      <c r="E264" s="479" t="s">
        <v>50</v>
      </c>
      <c r="F264" s="481">
        <v>1</v>
      </c>
      <c r="G264" s="659"/>
      <c r="H264" s="479" t="s">
        <v>51</v>
      </c>
      <c r="I264" s="482"/>
      <c r="J264" s="481">
        <v>6</v>
      </c>
      <c r="K264" s="541"/>
      <c r="L264" s="765"/>
      <c r="M264" s="480"/>
      <c r="N264" s="478"/>
      <c r="O264" s="478"/>
      <c r="P264" s="481">
        <f>+'Staff Detail'!B$20</f>
        <v>128.1</v>
      </c>
      <c r="Q264" s="483"/>
      <c r="R264" s="484">
        <f t="shared" si="214"/>
        <v>36.6</v>
      </c>
      <c r="S264" s="483"/>
      <c r="T264" s="485">
        <f t="shared" si="215"/>
        <v>768.59999999999991</v>
      </c>
      <c r="U264" s="480"/>
      <c r="V264" s="485">
        <f t="shared" si="216"/>
        <v>219.59999999999997</v>
      </c>
      <c r="W264" s="486"/>
      <c r="X264" s="487">
        <f t="shared" si="217"/>
        <v>8.1732642699946278E-5</v>
      </c>
      <c r="Y264" s="488"/>
      <c r="Z264" s="489">
        <f>V264/$V$601</f>
        <v>1.1842306565650611E-4</v>
      </c>
      <c r="AA264" s="660">
        <v>1</v>
      </c>
      <c r="AB264" s="661">
        <f>+W264+V264*AA264</f>
        <v>219.59999999999997</v>
      </c>
      <c r="AC264" s="662">
        <f t="shared" si="218"/>
        <v>0</v>
      </c>
      <c r="AD264" s="483">
        <f>+V264-AB264</f>
        <v>0</v>
      </c>
      <c r="AE264" s="607" t="s">
        <v>99</v>
      </c>
      <c r="AF264" s="490"/>
    </row>
    <row r="265" spans="1:32" s="491" customFormat="1" ht="15" customHeight="1" x14ac:dyDescent="0.25">
      <c r="B265" s="178" t="s">
        <v>422</v>
      </c>
      <c r="C265" s="478"/>
      <c r="D265" s="479" t="s">
        <v>50</v>
      </c>
      <c r="E265" s="482"/>
      <c r="F265" s="481">
        <v>1</v>
      </c>
      <c r="G265" s="659"/>
      <c r="H265" s="479" t="s">
        <v>51</v>
      </c>
      <c r="I265" s="482"/>
      <c r="J265" s="481">
        <v>6</v>
      </c>
      <c r="K265" s="541"/>
      <c r="L265" s="765"/>
      <c r="M265" s="480"/>
      <c r="N265" s="478"/>
      <c r="O265" s="478"/>
      <c r="P265" s="481">
        <f>+'Staff Detail'!B$26</f>
        <v>320.96027397260275</v>
      </c>
      <c r="Q265" s="483"/>
      <c r="R265" s="484">
        <f t="shared" ref="R265" si="219">P265/$V$6</f>
        <v>91.702935420743643</v>
      </c>
      <c r="S265" s="483"/>
      <c r="T265" s="485">
        <f t="shared" ref="T265" si="220">IF(N265=0,IF(J265=0,F265*P265,F265*J265*P265),F265*J265*N265*P265)</f>
        <v>1925.7616438356165</v>
      </c>
      <c r="U265" s="480"/>
      <c r="V265" s="485">
        <f t="shared" ref="V265" si="221">T265/$V$6</f>
        <v>550.21761252446186</v>
      </c>
      <c r="W265" s="486"/>
      <c r="X265" s="487">
        <f t="shared" ref="X265" si="222">V265/$V$3</f>
        <v>2.0478478839562538E-4</v>
      </c>
      <c r="Y265" s="488"/>
      <c r="Z265" s="489">
        <f>V265/$V$601</f>
        <v>2.9671428257445538E-4</v>
      </c>
      <c r="AA265" s="660">
        <v>1</v>
      </c>
      <c r="AB265" s="661">
        <f>+W265+V265*AA265</f>
        <v>550.21761252446186</v>
      </c>
      <c r="AC265" s="662">
        <f t="shared" ref="AC265" si="223">+AD265/V265</f>
        <v>0</v>
      </c>
      <c r="AD265" s="483">
        <f>+V265-AB265</f>
        <v>0</v>
      </c>
      <c r="AE265" s="607" t="s">
        <v>99</v>
      </c>
      <c r="AF265" s="490"/>
    </row>
    <row r="266" spans="1:32" s="491" customFormat="1" ht="15" customHeight="1" x14ac:dyDescent="0.25">
      <c r="B266" s="799" t="s">
        <v>207</v>
      </c>
      <c r="C266" s="478"/>
      <c r="D266" s="479"/>
      <c r="E266" s="482"/>
      <c r="F266" s="481"/>
      <c r="G266" s="659"/>
      <c r="H266" s="479"/>
      <c r="I266" s="482"/>
      <c r="J266" s="481"/>
      <c r="K266" s="541"/>
      <c r="L266" s="765"/>
      <c r="M266" s="480"/>
      <c r="N266" s="478"/>
      <c r="O266" s="478"/>
      <c r="P266" s="481"/>
      <c r="Q266" s="483"/>
      <c r="R266" s="484"/>
      <c r="S266" s="483"/>
      <c r="T266" s="485"/>
      <c r="U266" s="480"/>
      <c r="V266" s="485"/>
      <c r="W266" s="486"/>
      <c r="X266" s="487"/>
      <c r="Y266" s="488"/>
      <c r="Z266" s="489"/>
      <c r="AA266" s="660"/>
      <c r="AB266" s="661"/>
      <c r="AC266" s="662"/>
      <c r="AD266" s="483"/>
      <c r="AE266" s="607"/>
      <c r="AF266" s="490"/>
    </row>
    <row r="267" spans="1:32" s="491" customFormat="1" ht="15" customHeight="1" x14ac:dyDescent="0.25">
      <c r="B267" s="178" t="s">
        <v>421</v>
      </c>
      <c r="C267" s="478"/>
      <c r="D267" s="479" t="s">
        <v>50</v>
      </c>
      <c r="E267" s="482"/>
      <c r="F267" s="481">
        <v>1</v>
      </c>
      <c r="G267" s="659"/>
      <c r="H267" s="479" t="s">
        <v>51</v>
      </c>
      <c r="I267" s="482"/>
      <c r="J267" s="481">
        <v>6</v>
      </c>
      <c r="K267" s="541"/>
      <c r="L267" s="765"/>
      <c r="M267" s="480"/>
      <c r="N267" s="478"/>
      <c r="O267" s="478"/>
      <c r="P267" s="481">
        <f>+'Staff Detail'!B$27</f>
        <v>226.57906849315069</v>
      </c>
      <c r="Q267" s="483"/>
      <c r="R267" s="484">
        <f t="shared" ref="R267:R269" si="224">P267/$V$6</f>
        <v>64.736876712328765</v>
      </c>
      <c r="S267" s="483"/>
      <c r="T267" s="485">
        <f t="shared" ref="T267:T269" si="225">IF(N267=0,IF(J267=0,F267*P267,F267*J267*P267),F267*J267*N267*P267)</f>
        <v>1359.4744109589042</v>
      </c>
      <c r="U267" s="480"/>
      <c r="V267" s="485">
        <f t="shared" ref="V267:V269" si="226">T267/$V$6</f>
        <v>388.42126027397262</v>
      </c>
      <c r="W267" s="486"/>
      <c r="X267" s="487">
        <f t="shared" ref="X267:X269" si="227">V267/$V$3</f>
        <v>1.4456601130708309E-4</v>
      </c>
      <c r="Y267" s="488"/>
      <c r="Z267" s="489">
        <f>V267/$V$601</f>
        <v>2.0946282517216537E-4</v>
      </c>
      <c r="AA267" s="660">
        <v>1</v>
      </c>
      <c r="AB267" s="661">
        <f>+W267+V267*AA267</f>
        <v>388.42126027397262</v>
      </c>
      <c r="AC267" s="662">
        <f t="shared" ref="AC267:AC269" si="228">+AD267/V267</f>
        <v>0</v>
      </c>
      <c r="AD267" s="483">
        <f>+V267-AB267</f>
        <v>0</v>
      </c>
      <c r="AE267" s="607" t="s">
        <v>99</v>
      </c>
      <c r="AF267" s="490"/>
    </row>
    <row r="268" spans="1:32" s="491" customFormat="1" ht="15" customHeight="1" x14ac:dyDescent="0.25">
      <c r="B268" s="178" t="s">
        <v>453</v>
      </c>
      <c r="C268" s="478"/>
      <c r="D268" s="479" t="s">
        <v>50</v>
      </c>
      <c r="E268" s="482"/>
      <c r="F268" s="481">
        <v>1</v>
      </c>
      <c r="G268" s="659"/>
      <c r="H268" s="479" t="s">
        <v>51</v>
      </c>
      <c r="I268" s="482"/>
      <c r="J268" s="481">
        <v>6</v>
      </c>
      <c r="K268" s="541"/>
      <c r="L268" s="765"/>
      <c r="M268" s="480"/>
      <c r="N268" s="478"/>
      <c r="O268" s="478"/>
      <c r="P268" s="481">
        <f>+P264</f>
        <v>128.1</v>
      </c>
      <c r="Q268" s="483"/>
      <c r="R268" s="484">
        <f t="shared" si="224"/>
        <v>36.6</v>
      </c>
      <c r="S268" s="483"/>
      <c r="T268" s="485">
        <f t="shared" si="225"/>
        <v>768.59999999999991</v>
      </c>
      <c r="U268" s="480"/>
      <c r="V268" s="485">
        <f t="shared" si="226"/>
        <v>219.59999999999997</v>
      </c>
      <c r="W268" s="486"/>
      <c r="X268" s="487">
        <f t="shared" si="227"/>
        <v>8.1732642699946278E-5</v>
      </c>
      <c r="Y268" s="488"/>
      <c r="Z268" s="489">
        <f>V268/$V$601</f>
        <v>1.1842306565650611E-4</v>
      </c>
      <c r="AA268" s="660">
        <v>1</v>
      </c>
      <c r="AB268" s="661">
        <f>+W268+V268*AA268</f>
        <v>219.59999999999997</v>
      </c>
      <c r="AC268" s="662">
        <f t="shared" si="228"/>
        <v>0</v>
      </c>
      <c r="AD268" s="483">
        <f>+V268-AB268</f>
        <v>0</v>
      </c>
      <c r="AE268" s="607" t="s">
        <v>99</v>
      </c>
      <c r="AF268" s="490"/>
    </row>
    <row r="269" spans="1:32" s="491" customFormat="1" ht="15" customHeight="1" x14ac:dyDescent="0.25">
      <c r="B269" s="178" t="s">
        <v>496</v>
      </c>
      <c r="C269" s="478"/>
      <c r="D269" s="479" t="s">
        <v>50</v>
      </c>
      <c r="E269" s="480"/>
      <c r="F269" s="481">
        <v>1</v>
      </c>
      <c r="G269" s="480"/>
      <c r="H269" s="479" t="s">
        <v>51</v>
      </c>
      <c r="I269" s="482"/>
      <c r="J269" s="481">
        <v>6</v>
      </c>
      <c r="K269" s="541"/>
      <c r="L269" s="765"/>
      <c r="M269" s="482"/>
      <c r="N269" s="478"/>
      <c r="O269" s="543"/>
      <c r="P269" s="481">
        <f>+P263</f>
        <v>119.56</v>
      </c>
      <c r="Q269" s="483"/>
      <c r="R269" s="484">
        <f t="shared" si="224"/>
        <v>34.160000000000004</v>
      </c>
      <c r="S269" s="483"/>
      <c r="T269" s="485">
        <f t="shared" si="225"/>
        <v>717.36</v>
      </c>
      <c r="U269" s="480"/>
      <c r="V269" s="485">
        <f t="shared" si="226"/>
        <v>204.96</v>
      </c>
      <c r="W269" s="486"/>
      <c r="X269" s="487">
        <f t="shared" si="227"/>
        <v>7.6283799853283204E-5</v>
      </c>
      <c r="Y269" s="488"/>
      <c r="Z269" s="489">
        <f>V269/$V$601</f>
        <v>1.1052819461273906E-4</v>
      </c>
      <c r="AA269" s="660">
        <v>1</v>
      </c>
      <c r="AB269" s="661">
        <f>+W269+V269*AA269</f>
        <v>204.96</v>
      </c>
      <c r="AC269" s="662">
        <f t="shared" si="228"/>
        <v>0</v>
      </c>
      <c r="AD269" s="483">
        <f>+V269-AB269</f>
        <v>0</v>
      </c>
      <c r="AE269" s="607" t="s">
        <v>99</v>
      </c>
      <c r="AF269" s="490"/>
    </row>
    <row r="270" spans="1:32" s="491" customFormat="1" ht="15" customHeight="1" x14ac:dyDescent="0.25">
      <c r="B270" s="799" t="s">
        <v>208</v>
      </c>
      <c r="C270" s="478"/>
      <c r="D270" s="479"/>
      <c r="E270" s="480"/>
      <c r="F270" s="481"/>
      <c r="G270" s="480"/>
      <c r="H270" s="479"/>
      <c r="I270" s="482"/>
      <c r="J270" s="481"/>
      <c r="K270" s="541"/>
      <c r="L270" s="765"/>
      <c r="M270" s="482"/>
      <c r="N270" s="478"/>
      <c r="O270" s="543"/>
      <c r="P270" s="481"/>
      <c r="Q270" s="483"/>
      <c r="R270" s="484"/>
      <c r="S270" s="483"/>
      <c r="T270" s="485"/>
      <c r="U270" s="480"/>
      <c r="V270" s="485"/>
      <c r="W270" s="486"/>
      <c r="X270" s="487"/>
      <c r="Y270" s="488"/>
      <c r="Z270" s="489"/>
      <c r="AA270" s="660"/>
      <c r="AB270" s="661"/>
      <c r="AC270" s="662"/>
      <c r="AD270" s="483"/>
      <c r="AE270" s="607"/>
      <c r="AF270" s="490"/>
    </row>
    <row r="271" spans="1:32" s="491" customFormat="1" ht="15" customHeight="1" x14ac:dyDescent="0.25">
      <c r="B271" s="178" t="s">
        <v>453</v>
      </c>
      <c r="C271" s="478"/>
      <c r="D271" s="479" t="s">
        <v>50</v>
      </c>
      <c r="E271" s="480"/>
      <c r="F271" s="481">
        <v>1</v>
      </c>
      <c r="G271" s="480"/>
      <c r="H271" s="479" t="s">
        <v>51</v>
      </c>
      <c r="I271" s="482"/>
      <c r="J271" s="481">
        <v>6</v>
      </c>
      <c r="K271" s="541"/>
      <c r="L271" s="765"/>
      <c r="M271" s="482"/>
      <c r="N271" s="478"/>
      <c r="O271" s="543"/>
      <c r="P271" s="481">
        <f>+'Staff Detail'!B$14</f>
        <v>128.1</v>
      </c>
      <c r="Q271" s="483"/>
      <c r="R271" s="484">
        <f t="shared" ref="R271:R277" si="229">P271/$V$6</f>
        <v>36.6</v>
      </c>
      <c r="S271" s="483"/>
      <c r="T271" s="485">
        <f t="shared" ref="T271:T277" si="230">IF(N271=0,IF(J271=0,F271*P271,F271*J271*P271),F271*J271*N271*P271)</f>
        <v>768.59999999999991</v>
      </c>
      <c r="U271" s="480"/>
      <c r="V271" s="485">
        <f t="shared" ref="V271:V277" si="231">T271/$V$6</f>
        <v>219.59999999999997</v>
      </c>
      <c r="W271" s="486"/>
      <c r="X271" s="487">
        <f t="shared" ref="X271:X277" si="232">V271/$V$3</f>
        <v>8.1732642699946278E-5</v>
      </c>
      <c r="Y271" s="488"/>
      <c r="Z271" s="489">
        <f>V271/$V$601</f>
        <v>1.1842306565650611E-4</v>
      </c>
      <c r="AA271" s="660">
        <v>1</v>
      </c>
      <c r="AB271" s="661">
        <f>+W271+V271*AA271</f>
        <v>219.59999999999997</v>
      </c>
      <c r="AC271" s="662">
        <f t="shared" ref="AC271:AC277" si="233">+AD271/V271</f>
        <v>0</v>
      </c>
      <c r="AD271" s="483">
        <f>+V271-AB271</f>
        <v>0</v>
      </c>
      <c r="AE271" s="607" t="s">
        <v>99</v>
      </c>
      <c r="AF271" s="490"/>
    </row>
    <row r="272" spans="1:32" s="491" customFormat="1" ht="15" customHeight="1" x14ac:dyDescent="0.25">
      <c r="B272" s="178" t="s">
        <v>496</v>
      </c>
      <c r="C272" s="478"/>
      <c r="D272" s="479" t="s">
        <v>50</v>
      </c>
      <c r="E272" s="480"/>
      <c r="F272" s="481">
        <v>1</v>
      </c>
      <c r="G272" s="480"/>
      <c r="H272" s="479" t="s">
        <v>51</v>
      </c>
      <c r="I272" s="482"/>
      <c r="J272" s="481">
        <v>6</v>
      </c>
      <c r="K272" s="541"/>
      <c r="L272" s="765"/>
      <c r="M272" s="482"/>
      <c r="N272" s="478"/>
      <c r="O272" s="543"/>
      <c r="P272" s="481">
        <f>+P269</f>
        <v>119.56</v>
      </c>
      <c r="Q272" s="483"/>
      <c r="R272" s="484">
        <f t="shared" si="229"/>
        <v>34.160000000000004</v>
      </c>
      <c r="S272" s="483"/>
      <c r="T272" s="485">
        <f t="shared" si="230"/>
        <v>717.36</v>
      </c>
      <c r="U272" s="480"/>
      <c r="V272" s="485">
        <f t="shared" si="231"/>
        <v>204.96</v>
      </c>
      <c r="W272" s="486"/>
      <c r="X272" s="487">
        <f t="shared" si="232"/>
        <v>7.6283799853283204E-5</v>
      </c>
      <c r="Y272" s="488"/>
      <c r="Z272" s="489">
        <f>V272/$V$601</f>
        <v>1.1052819461273906E-4</v>
      </c>
      <c r="AA272" s="660">
        <v>1</v>
      </c>
      <c r="AB272" s="661">
        <f>+W272+V272*AA272</f>
        <v>204.96</v>
      </c>
      <c r="AC272" s="662">
        <f t="shared" si="233"/>
        <v>0</v>
      </c>
      <c r="AD272" s="483">
        <f>+V272-AB272</f>
        <v>0</v>
      </c>
      <c r="AE272" s="607" t="s">
        <v>99</v>
      </c>
      <c r="AF272" s="490"/>
    </row>
    <row r="273" spans="2:32" s="491" customFormat="1" ht="15" customHeight="1" x14ac:dyDescent="0.25">
      <c r="B273" s="178" t="s">
        <v>412</v>
      </c>
      <c r="C273" s="478"/>
      <c r="D273" s="479" t="s">
        <v>50</v>
      </c>
      <c r="E273" s="480"/>
      <c r="F273" s="481">
        <v>1</v>
      </c>
      <c r="G273" s="480"/>
      <c r="H273" s="479" t="s">
        <v>51</v>
      </c>
      <c r="I273" s="482"/>
      <c r="J273" s="481">
        <v>6</v>
      </c>
      <c r="K273" s="541"/>
      <c r="L273" s="765"/>
      <c r="M273" s="482"/>
      <c r="N273" s="478"/>
      <c r="O273" s="543"/>
      <c r="P273" s="481">
        <f>+'Staff Detail'!B$37</f>
        <v>383.56164383561645</v>
      </c>
      <c r="Q273" s="483"/>
      <c r="R273" s="484">
        <f t="shared" si="229"/>
        <v>109.58904109589041</v>
      </c>
      <c r="S273" s="483"/>
      <c r="T273" s="485">
        <f t="shared" si="230"/>
        <v>2301.3698630136987</v>
      </c>
      <c r="U273" s="480"/>
      <c r="V273" s="485">
        <f t="shared" si="231"/>
        <v>657.53424657534254</v>
      </c>
      <c r="W273" s="486"/>
      <c r="X273" s="487">
        <f t="shared" si="232"/>
        <v>2.4472682895410226E-4</v>
      </c>
      <c r="Y273" s="488"/>
      <c r="Z273" s="489">
        <f>V273/$V$601</f>
        <v>3.5458661773038745E-4</v>
      </c>
      <c r="AA273" s="660">
        <v>1</v>
      </c>
      <c r="AB273" s="661">
        <f>+W273+V273*AA273</f>
        <v>657.53424657534254</v>
      </c>
      <c r="AC273" s="662">
        <f t="shared" si="233"/>
        <v>0</v>
      </c>
      <c r="AD273" s="483">
        <f>+V273-AB273</f>
        <v>0</v>
      </c>
      <c r="AE273" s="607" t="s">
        <v>99</v>
      </c>
      <c r="AF273" s="490"/>
    </row>
    <row r="274" spans="2:32" s="491" customFormat="1" ht="15" customHeight="1" x14ac:dyDescent="0.25">
      <c r="B274" s="178" t="s">
        <v>418</v>
      </c>
      <c r="C274" s="478"/>
      <c r="D274" s="479" t="s">
        <v>50</v>
      </c>
      <c r="E274" s="480"/>
      <c r="F274" s="481">
        <v>2</v>
      </c>
      <c r="G274" s="480"/>
      <c r="H274" s="479" t="s">
        <v>51</v>
      </c>
      <c r="I274" s="482"/>
      <c r="J274" s="481">
        <v>6</v>
      </c>
      <c r="K274" s="541"/>
      <c r="L274" s="765"/>
      <c r="M274" s="482"/>
      <c r="N274" s="478"/>
      <c r="O274" s="543"/>
      <c r="P274" s="481">
        <f>+'Staff Detail'!B$38</f>
        <v>383.56164383561645</v>
      </c>
      <c r="Q274" s="483"/>
      <c r="R274" s="484">
        <f t="shared" si="229"/>
        <v>109.58904109589041</v>
      </c>
      <c r="S274" s="483"/>
      <c r="T274" s="485">
        <f t="shared" si="230"/>
        <v>4602.7397260273974</v>
      </c>
      <c r="U274" s="480"/>
      <c r="V274" s="485">
        <f t="shared" si="231"/>
        <v>1315.0684931506851</v>
      </c>
      <c r="W274" s="486"/>
      <c r="X274" s="487">
        <f t="shared" si="232"/>
        <v>4.8945365790820452E-4</v>
      </c>
      <c r="Y274" s="488"/>
      <c r="Z274" s="489">
        <f>V274/$V$601</f>
        <v>7.0917323546077491E-4</v>
      </c>
      <c r="AA274" s="660">
        <v>1</v>
      </c>
      <c r="AB274" s="661">
        <f>+W274+V274*AA274</f>
        <v>1315.0684931506851</v>
      </c>
      <c r="AC274" s="662">
        <f t="shared" si="233"/>
        <v>0</v>
      </c>
      <c r="AD274" s="483">
        <f>+V274-AB274</f>
        <v>0</v>
      </c>
      <c r="AE274" s="607" t="s">
        <v>99</v>
      </c>
      <c r="AF274" s="490"/>
    </row>
    <row r="275" spans="2:32" s="491" customFormat="1" ht="15" customHeight="1" x14ac:dyDescent="0.25">
      <c r="B275" s="178"/>
      <c r="C275" s="478"/>
      <c r="D275" s="479"/>
      <c r="E275" s="480"/>
      <c r="F275" s="481"/>
      <c r="G275" s="480"/>
      <c r="H275" s="479"/>
      <c r="I275" s="482"/>
      <c r="J275" s="481"/>
      <c r="K275" s="541"/>
      <c r="L275" s="765"/>
      <c r="M275" s="482"/>
      <c r="N275" s="478"/>
      <c r="O275" s="543"/>
      <c r="P275" s="481"/>
      <c r="Q275" s="483"/>
      <c r="R275" s="484"/>
      <c r="S275" s="483"/>
      <c r="T275" s="485"/>
      <c r="U275" s="480"/>
      <c r="V275" s="485"/>
      <c r="W275" s="486"/>
      <c r="X275" s="487"/>
      <c r="Y275" s="488"/>
      <c r="Z275" s="489"/>
      <c r="AA275" s="660"/>
      <c r="AB275" s="661"/>
      <c r="AC275" s="662"/>
      <c r="AD275" s="483"/>
      <c r="AE275" s="607"/>
      <c r="AF275" s="490"/>
    </row>
    <row r="276" spans="2:32" s="491" customFormat="1" ht="15" customHeight="1" x14ac:dyDescent="0.25">
      <c r="B276" s="178" t="s">
        <v>300</v>
      </c>
      <c r="C276" s="478"/>
      <c r="D276" s="479" t="s">
        <v>50</v>
      </c>
      <c r="E276" s="480"/>
      <c r="F276" s="481">
        <f>+SUM(F263:F274)</f>
        <v>11</v>
      </c>
      <c r="G276" s="480"/>
      <c r="H276" s="479" t="s">
        <v>51</v>
      </c>
      <c r="I276" s="482"/>
      <c r="J276" s="481">
        <v>6</v>
      </c>
      <c r="K276" s="541"/>
      <c r="L276" s="765"/>
      <c r="M276" s="482"/>
      <c r="N276" s="478"/>
      <c r="O276" s="543"/>
      <c r="P276" s="481">
        <f>+'Staff Detail'!B$51</f>
        <v>350</v>
      </c>
      <c r="Q276" s="483"/>
      <c r="R276" s="484">
        <f t="shared" si="229"/>
        <v>100</v>
      </c>
      <c r="S276" s="483"/>
      <c r="T276" s="485">
        <f t="shared" si="230"/>
        <v>23100</v>
      </c>
      <c r="U276" s="480"/>
      <c r="V276" s="485">
        <f t="shared" si="231"/>
        <v>6600</v>
      </c>
      <c r="W276" s="486"/>
      <c r="X276" s="487">
        <f t="shared" si="232"/>
        <v>2.4564455456268014E-3</v>
      </c>
      <c r="Y276" s="488"/>
      <c r="Z276" s="489">
        <f>V276/$V$601</f>
        <v>3.5591631754687634E-3</v>
      </c>
      <c r="AA276" s="662">
        <v>1</v>
      </c>
      <c r="AB276" s="661">
        <f>+W276+V276*AA276</f>
        <v>6600</v>
      </c>
      <c r="AC276" s="662">
        <f t="shared" si="233"/>
        <v>0</v>
      </c>
      <c r="AD276" s="483">
        <f>+V276-AB276</f>
        <v>0</v>
      </c>
      <c r="AE276" s="607" t="s">
        <v>99</v>
      </c>
      <c r="AF276" s="490"/>
    </row>
    <row r="277" spans="2:32" s="491" customFormat="1" ht="15" customHeight="1" x14ac:dyDescent="0.25">
      <c r="B277" s="178" t="s">
        <v>460</v>
      </c>
      <c r="C277" s="478"/>
      <c r="D277" s="479" t="s">
        <v>50</v>
      </c>
      <c r="E277" s="480"/>
      <c r="F277" s="481">
        <v>4</v>
      </c>
      <c r="G277" s="480"/>
      <c r="H277" s="479" t="s">
        <v>51</v>
      </c>
      <c r="I277" s="482"/>
      <c r="J277" s="821">
        <v>0.5</v>
      </c>
      <c r="K277" s="541"/>
      <c r="L277" s="765"/>
      <c r="M277" s="482"/>
      <c r="N277" s="478"/>
      <c r="O277" s="543"/>
      <c r="P277" s="481">
        <f>+'Staff Detail'!B16</f>
        <v>89.67</v>
      </c>
      <c r="Q277" s="483"/>
      <c r="R277" s="484">
        <f t="shared" si="229"/>
        <v>25.62</v>
      </c>
      <c r="S277" s="483"/>
      <c r="T277" s="485">
        <f t="shared" si="230"/>
        <v>179.34</v>
      </c>
      <c r="U277" s="480"/>
      <c r="V277" s="485">
        <f t="shared" si="231"/>
        <v>51.24</v>
      </c>
      <c r="W277" s="486"/>
      <c r="X277" s="487">
        <f t="shared" si="232"/>
        <v>1.9070949963320801E-5</v>
      </c>
      <c r="Y277" s="488"/>
      <c r="Z277" s="489">
        <f>V277/$V$601</f>
        <v>2.7632048653184765E-5</v>
      </c>
      <c r="AA277" s="660">
        <v>1</v>
      </c>
      <c r="AB277" s="661">
        <f>+W277+V277*AA277</f>
        <v>51.24</v>
      </c>
      <c r="AC277" s="662">
        <f t="shared" si="233"/>
        <v>0</v>
      </c>
      <c r="AD277" s="483">
        <f>+V277-AB277</f>
        <v>0</v>
      </c>
      <c r="AE277" s="607" t="s">
        <v>99</v>
      </c>
      <c r="AF277" s="490"/>
    </row>
    <row r="278" spans="2:32" s="491" customFormat="1" ht="15" customHeight="1" x14ac:dyDescent="0.25">
      <c r="B278" s="178" t="s">
        <v>296</v>
      </c>
      <c r="C278" s="478"/>
      <c r="D278" s="479" t="s">
        <v>98</v>
      </c>
      <c r="E278" s="480"/>
      <c r="F278" s="481">
        <v>4</v>
      </c>
      <c r="G278" s="480"/>
      <c r="H278" s="479" t="s">
        <v>54</v>
      </c>
      <c r="I278" s="482"/>
      <c r="J278" s="481">
        <v>45</v>
      </c>
      <c r="K278" s="541"/>
      <c r="L278" s="479" t="s">
        <v>51</v>
      </c>
      <c r="M278" s="542"/>
      <c r="N278" s="481">
        <v>7</v>
      </c>
      <c r="O278" s="543"/>
      <c r="P278" s="481">
        <v>3.3</v>
      </c>
      <c r="Q278" s="483"/>
      <c r="R278" s="484">
        <f t="shared" si="214"/>
        <v>0.94285714285714284</v>
      </c>
      <c r="S278" s="483"/>
      <c r="T278" s="485">
        <f t="shared" si="215"/>
        <v>4158</v>
      </c>
      <c r="U278" s="480"/>
      <c r="V278" s="485">
        <f t="shared" si="216"/>
        <v>1188</v>
      </c>
      <c r="W278" s="486"/>
      <c r="X278" s="487">
        <f t="shared" si="217"/>
        <v>4.4216019821282423E-4</v>
      </c>
      <c r="Y278" s="488"/>
      <c r="Z278" s="489">
        <f>V278/$V$601</f>
        <v>6.4064937158437739E-4</v>
      </c>
      <c r="AA278" s="660">
        <v>1</v>
      </c>
      <c r="AB278" s="661">
        <f>+W278+V278*AA278</f>
        <v>1188</v>
      </c>
      <c r="AC278" s="662">
        <f t="shared" si="218"/>
        <v>0</v>
      </c>
      <c r="AD278" s="483">
        <f>+V278-AB278</f>
        <v>0</v>
      </c>
      <c r="AE278" s="611" t="s">
        <v>55</v>
      </c>
      <c r="AF278" s="490"/>
    </row>
    <row r="279" spans="2:32" s="491" customFormat="1" ht="15" customHeight="1" x14ac:dyDescent="0.25">
      <c r="B279" s="495" t="s">
        <v>96</v>
      </c>
      <c r="C279" s="700"/>
      <c r="D279" s="701"/>
      <c r="E279" s="702"/>
      <c r="F279" s="703"/>
      <c r="G279" s="702"/>
      <c r="H279" s="701"/>
      <c r="I279" s="702"/>
      <c r="J279" s="704"/>
      <c r="K279" s="703"/>
      <c r="L279" s="700"/>
      <c r="M279" s="700"/>
      <c r="N279" s="705"/>
      <c r="O279" s="700"/>
      <c r="P279" s="703"/>
      <c r="Q279" s="703"/>
      <c r="R279" s="703"/>
      <c r="S279" s="703"/>
      <c r="T279" s="706">
        <f>SUM(T263:T278)</f>
        <v>42084.565643835609</v>
      </c>
      <c r="U279" s="700"/>
      <c r="V279" s="706">
        <f>SUM(V263:V278)</f>
        <v>12024.161612524462</v>
      </c>
      <c r="W279" s="704"/>
      <c r="X279" s="835">
        <f>SUM(X263:X278)</f>
        <v>4.475257308027651E-3</v>
      </c>
      <c r="Y279" s="707"/>
      <c r="Z279" s="708">
        <f>V279/$V$601</f>
        <v>6.4842353374518439E-3</v>
      </c>
      <c r="AA279" s="823"/>
      <c r="AB279" s="706">
        <f>SUM(AB263:AB278)</f>
        <v>12024.161612524462</v>
      </c>
      <c r="AC279" s="824"/>
      <c r="AD279" s="706">
        <f>SUM(AD263:AD278)</f>
        <v>0</v>
      </c>
      <c r="AE279" s="718"/>
      <c r="AF279" s="490"/>
    </row>
    <row r="280" spans="2:32" s="491" customFormat="1" ht="15" customHeight="1" x14ac:dyDescent="0.25">
      <c r="B280" s="825"/>
      <c r="C280" s="826"/>
      <c r="D280" s="827"/>
      <c r="E280" s="124"/>
      <c r="F280" s="828"/>
      <c r="G280" s="124"/>
      <c r="H280" s="827"/>
      <c r="I280" s="124"/>
      <c r="J280" s="828"/>
      <c r="K280" s="828"/>
      <c r="L280" s="826"/>
      <c r="M280" s="826"/>
      <c r="N280" s="826"/>
      <c r="O280" s="826"/>
      <c r="P280" s="828"/>
      <c r="Q280" s="828"/>
      <c r="R280" s="828"/>
      <c r="S280" s="828"/>
      <c r="T280" s="829"/>
      <c r="U280" s="826"/>
      <c r="V280" s="829"/>
      <c r="W280" s="828"/>
      <c r="X280" s="830"/>
      <c r="Y280" s="831"/>
      <c r="Z280" s="708"/>
      <c r="AA280" s="832"/>
      <c r="AB280" s="829"/>
      <c r="AC280" s="833"/>
      <c r="AD280" s="829"/>
      <c r="AE280" s="615"/>
      <c r="AF280" s="490"/>
    </row>
    <row r="281" spans="2:32" s="112" customFormat="1" ht="15" customHeight="1" x14ac:dyDescent="0.25">
      <c r="B281" s="470" t="s">
        <v>463</v>
      </c>
      <c r="C281" s="318"/>
      <c r="D281" s="324"/>
      <c r="E281" s="100"/>
      <c r="F281" s="608"/>
      <c r="G281" s="94"/>
      <c r="H281" s="324"/>
      <c r="I281" s="100"/>
      <c r="J281" s="162"/>
      <c r="K281" s="164"/>
      <c r="L281" s="323"/>
      <c r="M281" s="323"/>
      <c r="N281" s="166"/>
      <c r="O281" s="323"/>
      <c r="P281" s="322"/>
      <c r="Q281" s="322"/>
      <c r="R281" s="322"/>
      <c r="S281" s="322"/>
      <c r="T281" s="134"/>
      <c r="U281" s="318"/>
      <c r="V281" s="134"/>
      <c r="W281" s="134"/>
      <c r="X281" s="355"/>
      <c r="Y281" s="469"/>
      <c r="Z281" s="290"/>
      <c r="AA281" s="94"/>
      <c r="AB281" s="648"/>
      <c r="AC281" s="94"/>
      <c r="AD281" s="94"/>
      <c r="AE281" s="607"/>
      <c r="AF281" s="211"/>
    </row>
    <row r="282" spans="2:32" s="112" customFormat="1" ht="15" customHeight="1" x14ac:dyDescent="0.25">
      <c r="B282" s="470" t="s">
        <v>451</v>
      </c>
      <c r="C282" s="318"/>
      <c r="D282" s="324"/>
      <c r="E282" s="100"/>
      <c r="F282" s="608"/>
      <c r="G282" s="94"/>
      <c r="H282" s="324"/>
      <c r="I282" s="100"/>
      <c r="J282" s="162"/>
      <c r="K282" s="164"/>
      <c r="L282" s="323"/>
      <c r="M282" s="323"/>
      <c r="N282" s="166"/>
      <c r="O282" s="323"/>
      <c r="P282" s="322"/>
      <c r="Q282" s="322"/>
      <c r="R282" s="322"/>
      <c r="S282" s="322"/>
      <c r="T282" s="134"/>
      <c r="U282" s="318"/>
      <c r="V282" s="134"/>
      <c r="W282" s="134"/>
      <c r="X282" s="355"/>
      <c r="Y282" s="469"/>
      <c r="Z282" s="290"/>
      <c r="AA282" s="94"/>
      <c r="AB282" s="648"/>
      <c r="AC282" s="94"/>
      <c r="AD282" s="94"/>
      <c r="AE282" s="607"/>
      <c r="AF282" s="211"/>
    </row>
    <row r="283" spans="2:32" s="112" customFormat="1" ht="15" customHeight="1" x14ac:dyDescent="0.25">
      <c r="B283" s="178" t="s">
        <v>421</v>
      </c>
      <c r="C283" s="318"/>
      <c r="D283" s="193" t="s">
        <v>50</v>
      </c>
      <c r="E283" s="100"/>
      <c r="F283" s="481">
        <v>1</v>
      </c>
      <c r="G283" s="94"/>
      <c r="H283" s="193" t="s">
        <v>51</v>
      </c>
      <c r="I283" s="100"/>
      <c r="J283" s="321">
        <v>2</v>
      </c>
      <c r="K283" s="164"/>
      <c r="L283" s="193"/>
      <c r="M283" s="317"/>
      <c r="N283" s="323"/>
      <c r="O283" s="323"/>
      <c r="P283" s="481">
        <f>+'Staff Detail'!B$27</f>
        <v>226.57906849315069</v>
      </c>
      <c r="Q283" s="322"/>
      <c r="R283" s="327">
        <f t="shared" ref="R283:R286" si="234">P283/$V$6</f>
        <v>64.736876712328765</v>
      </c>
      <c r="S283" s="322"/>
      <c r="T283" s="319">
        <f t="shared" ref="T283:T286" si="235">IF(N283=0,IF(J283=0,F283*P283,F283*J283*P283),F283*J283*N283*P283)</f>
        <v>453.15813698630137</v>
      </c>
      <c r="U283" s="317"/>
      <c r="V283" s="319">
        <f t="shared" ref="V283:V286" si="236">T283/$V$6</f>
        <v>129.47375342465753</v>
      </c>
      <c r="W283" s="320"/>
      <c r="X283" s="337">
        <f t="shared" ref="X283:X286" si="237">V283/$V$3</f>
        <v>4.8188670435694361E-5</v>
      </c>
      <c r="Y283" s="167"/>
      <c r="Z283" s="326">
        <f>V283/$V$601</f>
        <v>6.982094172405512E-5</v>
      </c>
      <c r="AA283" s="635">
        <v>1</v>
      </c>
      <c r="AB283" s="638">
        <f>+W283+V283*AA283</f>
        <v>129.47375342465753</v>
      </c>
      <c r="AC283" s="636">
        <f t="shared" ref="AC283:AC286" si="238">+AD283/V283</f>
        <v>0</v>
      </c>
      <c r="AD283" s="292">
        <f>+V283-AB283</f>
        <v>0</v>
      </c>
      <c r="AE283" s="607" t="s">
        <v>99</v>
      </c>
      <c r="AF283" s="211"/>
    </row>
    <row r="284" spans="2:32" s="112" customFormat="1" ht="15" customHeight="1" x14ac:dyDescent="0.25">
      <c r="B284" s="178" t="s">
        <v>453</v>
      </c>
      <c r="C284" s="318"/>
      <c r="D284" s="193" t="s">
        <v>50</v>
      </c>
      <c r="E284" s="100"/>
      <c r="F284" s="481">
        <v>1</v>
      </c>
      <c r="G284" s="94"/>
      <c r="H284" s="193" t="s">
        <v>51</v>
      </c>
      <c r="I284" s="100"/>
      <c r="J284" s="321">
        <v>2</v>
      </c>
      <c r="K284" s="164"/>
      <c r="L284" s="193"/>
      <c r="M284" s="317"/>
      <c r="N284" s="323"/>
      <c r="O284" s="323"/>
      <c r="P284" s="481">
        <f>+'Staff Detail'!D66+'Staff Detail'!B$20</f>
        <v>128.1</v>
      </c>
      <c r="Q284" s="322"/>
      <c r="R284" s="327">
        <f t="shared" si="234"/>
        <v>36.6</v>
      </c>
      <c r="S284" s="322"/>
      <c r="T284" s="319">
        <f t="shared" si="235"/>
        <v>256.2</v>
      </c>
      <c r="U284" s="317"/>
      <c r="V284" s="319">
        <f t="shared" si="236"/>
        <v>73.2</v>
      </c>
      <c r="W284" s="320"/>
      <c r="X284" s="337">
        <f t="shared" si="237"/>
        <v>2.7244214233315433E-5</v>
      </c>
      <c r="Y284" s="167"/>
      <c r="Z284" s="326">
        <f>V284/$V$601</f>
        <v>3.947435521883538E-5</v>
      </c>
      <c r="AA284" s="635">
        <v>1</v>
      </c>
      <c r="AB284" s="638">
        <f>+W284+V284*AA284</f>
        <v>73.2</v>
      </c>
      <c r="AC284" s="636">
        <f t="shared" si="238"/>
        <v>0</v>
      </c>
      <c r="AD284" s="292">
        <f>+V284-AB284</f>
        <v>0</v>
      </c>
      <c r="AE284" s="607" t="s">
        <v>99</v>
      </c>
      <c r="AF284" s="211"/>
    </row>
    <row r="285" spans="2:32" s="112" customFormat="1" ht="15" customHeight="1" x14ac:dyDescent="0.25">
      <c r="B285" s="178" t="s">
        <v>456</v>
      </c>
      <c r="C285" s="318"/>
      <c r="D285" s="193" t="s">
        <v>50</v>
      </c>
      <c r="E285" s="100"/>
      <c r="F285" s="481">
        <v>1</v>
      </c>
      <c r="G285" s="94"/>
      <c r="H285" s="193" t="s">
        <v>51</v>
      </c>
      <c r="I285" s="100"/>
      <c r="J285" s="321">
        <v>2</v>
      </c>
      <c r="K285" s="164"/>
      <c r="L285" s="193"/>
      <c r="M285" s="317"/>
      <c r="N285" s="323"/>
      <c r="O285" s="323"/>
      <c r="P285" s="481">
        <f>+'Staff Detail'!B$30</f>
        <v>222.03625643835619</v>
      </c>
      <c r="Q285" s="322"/>
      <c r="R285" s="327">
        <f t="shared" si="234"/>
        <v>63.43893041095891</v>
      </c>
      <c r="S285" s="322"/>
      <c r="T285" s="319">
        <f t="shared" si="235"/>
        <v>444.07251287671238</v>
      </c>
      <c r="U285" s="317"/>
      <c r="V285" s="319">
        <f t="shared" si="236"/>
        <v>126.87786082191782</v>
      </c>
      <c r="W285" s="320"/>
      <c r="X285" s="337">
        <f t="shared" si="237"/>
        <v>4.7222508493129889E-5</v>
      </c>
      <c r="Y285" s="167"/>
      <c r="Z285" s="326">
        <f>V285/$V$601</f>
        <v>6.8421062124184975E-5</v>
      </c>
      <c r="AA285" s="635">
        <v>1</v>
      </c>
      <c r="AB285" s="638">
        <f>+W285+V285*AA285</f>
        <v>126.87786082191782</v>
      </c>
      <c r="AC285" s="636">
        <f t="shared" si="238"/>
        <v>0</v>
      </c>
      <c r="AD285" s="292">
        <f>+V285-AB285</f>
        <v>0</v>
      </c>
      <c r="AE285" s="607" t="s">
        <v>99</v>
      </c>
      <c r="AF285" s="211"/>
    </row>
    <row r="286" spans="2:32" s="112" customFormat="1" ht="15" customHeight="1" x14ac:dyDescent="0.25">
      <c r="B286" s="178" t="s">
        <v>418</v>
      </c>
      <c r="C286" s="318"/>
      <c r="D286" s="193" t="s">
        <v>50</v>
      </c>
      <c r="E286" s="100"/>
      <c r="F286" s="481">
        <v>1</v>
      </c>
      <c r="G286" s="94"/>
      <c r="H286" s="193" t="s">
        <v>51</v>
      </c>
      <c r="I286" s="100"/>
      <c r="J286" s="321">
        <v>1</v>
      </c>
      <c r="K286" s="164"/>
      <c r="L286" s="193"/>
      <c r="M286" s="317"/>
      <c r="N286" s="323"/>
      <c r="O286" s="323"/>
      <c r="P286" s="481">
        <f>+'Staff Detail'!B$38</f>
        <v>383.56164383561645</v>
      </c>
      <c r="Q286" s="322"/>
      <c r="R286" s="327">
        <f t="shared" si="234"/>
        <v>109.58904109589041</v>
      </c>
      <c r="S286" s="322"/>
      <c r="T286" s="319">
        <f t="shared" si="235"/>
        <v>383.56164383561645</v>
      </c>
      <c r="U286" s="317"/>
      <c r="V286" s="319">
        <f t="shared" si="236"/>
        <v>109.58904109589041</v>
      </c>
      <c r="W286" s="320"/>
      <c r="X286" s="337">
        <f t="shared" si="237"/>
        <v>4.0787804825683706E-5</v>
      </c>
      <c r="Y286" s="167"/>
      <c r="Z286" s="326">
        <f>V286/$V$601</f>
        <v>5.9097769621731233E-5</v>
      </c>
      <c r="AA286" s="635">
        <v>1</v>
      </c>
      <c r="AB286" s="638">
        <f>+W286+V286*AA286</f>
        <v>109.58904109589041</v>
      </c>
      <c r="AC286" s="636">
        <f t="shared" si="238"/>
        <v>0</v>
      </c>
      <c r="AD286" s="292">
        <f>+V286-AB286</f>
        <v>0</v>
      </c>
      <c r="AE286" s="607" t="s">
        <v>99</v>
      </c>
      <c r="AF286" s="211"/>
    </row>
    <row r="287" spans="2:32" s="112" customFormat="1" ht="15" customHeight="1" x14ac:dyDescent="0.25">
      <c r="B287" s="799" t="s">
        <v>207</v>
      </c>
      <c r="C287" s="318"/>
      <c r="D287" s="193"/>
      <c r="E287" s="100"/>
      <c r="F287" s="481"/>
      <c r="G287" s="94"/>
      <c r="H287" s="193"/>
      <c r="I287" s="100"/>
      <c r="J287" s="321"/>
      <c r="K287" s="164"/>
      <c r="L287" s="193"/>
      <c r="M287" s="317"/>
      <c r="N287" s="323"/>
      <c r="O287" s="323"/>
      <c r="P287" s="481"/>
      <c r="Q287" s="322"/>
      <c r="R287" s="327"/>
      <c r="S287" s="322"/>
      <c r="T287" s="319"/>
      <c r="U287" s="317"/>
      <c r="V287" s="319"/>
      <c r="W287" s="320"/>
      <c r="X287" s="337"/>
      <c r="Y287" s="167"/>
      <c r="Z287" s="326"/>
      <c r="AA287" s="635"/>
      <c r="AB287" s="638"/>
      <c r="AC287" s="636"/>
      <c r="AD287" s="292"/>
      <c r="AE287" s="607"/>
      <c r="AF287" s="211"/>
    </row>
    <row r="288" spans="2:32" s="112" customFormat="1" ht="15" customHeight="1" x14ac:dyDescent="0.25">
      <c r="B288" s="178" t="s">
        <v>453</v>
      </c>
      <c r="C288" s="318"/>
      <c r="D288" s="193" t="s">
        <v>50</v>
      </c>
      <c r="E288" s="100"/>
      <c r="F288" s="481">
        <v>1</v>
      </c>
      <c r="G288" s="94"/>
      <c r="H288" s="193" t="s">
        <v>51</v>
      </c>
      <c r="I288" s="100"/>
      <c r="J288" s="321">
        <v>2</v>
      </c>
      <c r="K288" s="164"/>
      <c r="L288" s="193"/>
      <c r="M288" s="317"/>
      <c r="N288" s="323"/>
      <c r="O288" s="323"/>
      <c r="P288" s="481">
        <f>+P284</f>
        <v>128.1</v>
      </c>
      <c r="Q288" s="322"/>
      <c r="R288" s="327">
        <f t="shared" ref="R288:R291" si="239">P288/$V$6</f>
        <v>36.6</v>
      </c>
      <c r="S288" s="322"/>
      <c r="T288" s="319">
        <f t="shared" ref="T288:T291" si="240">IF(N288=0,IF(J288=0,F288*P288,F288*J288*P288),F288*J288*N288*P288)</f>
        <v>256.2</v>
      </c>
      <c r="U288" s="317"/>
      <c r="V288" s="319">
        <f t="shared" ref="V288:V291" si="241">T288/$V$6</f>
        <v>73.2</v>
      </c>
      <c r="W288" s="320"/>
      <c r="X288" s="337">
        <f t="shared" ref="X288:X291" si="242">V288/$V$3</f>
        <v>2.7244214233315433E-5</v>
      </c>
      <c r="Y288" s="167"/>
      <c r="Z288" s="326">
        <f>V288/$V$601</f>
        <v>3.947435521883538E-5</v>
      </c>
      <c r="AA288" s="635">
        <v>1</v>
      </c>
      <c r="AB288" s="638">
        <f>+W288+V288*AA288</f>
        <v>73.2</v>
      </c>
      <c r="AC288" s="636">
        <f t="shared" ref="AC288:AC291" si="243">+AD288/V288</f>
        <v>0</v>
      </c>
      <c r="AD288" s="292">
        <f>+V288-AB288</f>
        <v>0</v>
      </c>
      <c r="AE288" s="607" t="s">
        <v>99</v>
      </c>
      <c r="AF288" s="211"/>
    </row>
    <row r="289" spans="1:32" s="112" customFormat="1" ht="15" customHeight="1" x14ac:dyDescent="0.25">
      <c r="B289" s="178" t="s">
        <v>421</v>
      </c>
      <c r="C289" s="318"/>
      <c r="D289" s="193" t="s">
        <v>50</v>
      </c>
      <c r="E289" s="100"/>
      <c r="F289" s="481">
        <v>1</v>
      </c>
      <c r="G289" s="94"/>
      <c r="H289" s="193" t="s">
        <v>51</v>
      </c>
      <c r="I289" s="100"/>
      <c r="J289" s="321">
        <v>2</v>
      </c>
      <c r="K289" s="164"/>
      <c r="L289" s="193"/>
      <c r="M289" s="317"/>
      <c r="N289" s="323"/>
      <c r="O289" s="323"/>
      <c r="P289" s="321">
        <f>+P283</f>
        <v>226.57906849315069</v>
      </c>
      <c r="Q289" s="322"/>
      <c r="R289" s="327">
        <f t="shared" si="239"/>
        <v>64.736876712328765</v>
      </c>
      <c r="S289" s="322"/>
      <c r="T289" s="319">
        <f t="shared" si="240"/>
        <v>453.15813698630137</v>
      </c>
      <c r="U289" s="317"/>
      <c r="V289" s="319">
        <f t="shared" si="241"/>
        <v>129.47375342465753</v>
      </c>
      <c r="W289" s="320"/>
      <c r="X289" s="337">
        <f t="shared" si="242"/>
        <v>4.8188670435694361E-5</v>
      </c>
      <c r="Y289" s="167"/>
      <c r="Z289" s="326">
        <f>V289/$V$601</f>
        <v>6.982094172405512E-5</v>
      </c>
      <c r="AA289" s="635">
        <v>1</v>
      </c>
      <c r="AB289" s="638">
        <f>+W289+V289*AA289</f>
        <v>129.47375342465753</v>
      </c>
      <c r="AC289" s="636">
        <f t="shared" si="243"/>
        <v>0</v>
      </c>
      <c r="AD289" s="292">
        <f>+V289-AB289</f>
        <v>0</v>
      </c>
      <c r="AE289" s="607" t="s">
        <v>99</v>
      </c>
      <c r="AF289" s="211"/>
    </row>
    <row r="290" spans="1:32" s="112" customFormat="1" ht="15" customHeight="1" x14ac:dyDescent="0.25">
      <c r="B290" s="178" t="s">
        <v>456</v>
      </c>
      <c r="C290" s="318"/>
      <c r="D290" s="193" t="s">
        <v>50</v>
      </c>
      <c r="E290" s="100"/>
      <c r="F290" s="481">
        <v>1</v>
      </c>
      <c r="G290" s="94"/>
      <c r="H290" s="193" t="s">
        <v>51</v>
      </c>
      <c r="I290" s="100"/>
      <c r="J290" s="321">
        <v>2</v>
      </c>
      <c r="K290" s="164"/>
      <c r="L290" s="193"/>
      <c r="M290" s="317"/>
      <c r="N290" s="323"/>
      <c r="O290" s="323"/>
      <c r="P290" s="481">
        <f>+P285</f>
        <v>222.03625643835619</v>
      </c>
      <c r="Q290" s="322"/>
      <c r="R290" s="327">
        <f t="shared" si="239"/>
        <v>63.43893041095891</v>
      </c>
      <c r="S290" s="322"/>
      <c r="T290" s="319">
        <f t="shared" si="240"/>
        <v>444.07251287671238</v>
      </c>
      <c r="U290" s="317"/>
      <c r="V290" s="319">
        <f t="shared" si="241"/>
        <v>126.87786082191782</v>
      </c>
      <c r="W290" s="320"/>
      <c r="X290" s="337">
        <f t="shared" si="242"/>
        <v>4.7222508493129889E-5</v>
      </c>
      <c r="Y290" s="167"/>
      <c r="Z290" s="326">
        <f>V290/$V$601</f>
        <v>6.8421062124184975E-5</v>
      </c>
      <c r="AA290" s="635">
        <v>1</v>
      </c>
      <c r="AB290" s="638">
        <f>+W290+V290*AA290</f>
        <v>126.87786082191782</v>
      </c>
      <c r="AC290" s="636">
        <f t="shared" si="243"/>
        <v>0</v>
      </c>
      <c r="AD290" s="292">
        <f>+V290-AB290</f>
        <v>0</v>
      </c>
      <c r="AE290" s="607" t="s">
        <v>99</v>
      </c>
      <c r="AF290" s="211"/>
    </row>
    <row r="291" spans="1:32" s="112" customFormat="1" ht="15" customHeight="1" x14ac:dyDescent="0.25">
      <c r="B291" s="178" t="s">
        <v>418</v>
      </c>
      <c r="C291" s="318"/>
      <c r="D291" s="193" t="s">
        <v>50</v>
      </c>
      <c r="E291" s="100"/>
      <c r="F291" s="481">
        <v>1</v>
      </c>
      <c r="G291" s="94"/>
      <c r="H291" s="193" t="s">
        <v>51</v>
      </c>
      <c r="I291" s="100"/>
      <c r="J291" s="321">
        <v>1</v>
      </c>
      <c r="K291" s="164"/>
      <c r="L291" s="193"/>
      <c r="M291" s="317"/>
      <c r="N291" s="323"/>
      <c r="O291" s="323"/>
      <c r="P291" s="481">
        <f>+P286</f>
        <v>383.56164383561645</v>
      </c>
      <c r="Q291" s="322"/>
      <c r="R291" s="327">
        <f t="shared" si="239"/>
        <v>109.58904109589041</v>
      </c>
      <c r="S291" s="322"/>
      <c r="T291" s="319">
        <f t="shared" si="240"/>
        <v>383.56164383561645</v>
      </c>
      <c r="U291" s="317"/>
      <c r="V291" s="319">
        <f t="shared" si="241"/>
        <v>109.58904109589041</v>
      </c>
      <c r="W291" s="320"/>
      <c r="X291" s="337">
        <f t="shared" si="242"/>
        <v>4.0787804825683706E-5</v>
      </c>
      <c r="Y291" s="167"/>
      <c r="Z291" s="326">
        <f>V291/$V$601</f>
        <v>5.9097769621731233E-5</v>
      </c>
      <c r="AA291" s="635">
        <v>1</v>
      </c>
      <c r="AB291" s="638">
        <f>+W291+V291*AA291</f>
        <v>109.58904109589041</v>
      </c>
      <c r="AC291" s="636">
        <f t="shared" si="243"/>
        <v>0</v>
      </c>
      <c r="AD291" s="292">
        <f>+V291-AB291</f>
        <v>0</v>
      </c>
      <c r="AE291" s="607" t="s">
        <v>99</v>
      </c>
      <c r="AF291" s="211"/>
    </row>
    <row r="292" spans="1:32" s="112" customFormat="1" ht="15" customHeight="1" x14ac:dyDescent="0.25">
      <c r="B292" s="799" t="s">
        <v>208</v>
      </c>
      <c r="C292" s="318"/>
      <c r="D292" s="193"/>
      <c r="E292" s="100"/>
      <c r="F292" s="481"/>
      <c r="G292" s="94"/>
      <c r="H292" s="193"/>
      <c r="I292" s="100"/>
      <c r="J292" s="321"/>
      <c r="K292" s="164"/>
      <c r="L292" s="193"/>
      <c r="M292" s="317"/>
      <c r="N292" s="323"/>
      <c r="O292" s="323"/>
      <c r="P292" s="481"/>
      <c r="Q292" s="322"/>
      <c r="R292" s="327"/>
      <c r="S292" s="322"/>
      <c r="T292" s="319"/>
      <c r="U292" s="317"/>
      <c r="V292" s="319"/>
      <c r="W292" s="320"/>
      <c r="X292" s="337"/>
      <c r="Y292" s="167"/>
      <c r="Z292" s="326"/>
      <c r="AA292" s="635"/>
      <c r="AB292" s="638"/>
      <c r="AC292" s="636"/>
      <c r="AD292" s="292"/>
      <c r="AE292" s="607"/>
      <c r="AF292" s="211"/>
    </row>
    <row r="293" spans="1:32" s="112" customFormat="1" ht="15" customHeight="1" x14ac:dyDescent="0.25">
      <c r="B293" s="178" t="s">
        <v>453</v>
      </c>
      <c r="C293" s="318"/>
      <c r="D293" s="193" t="s">
        <v>50</v>
      </c>
      <c r="E293" s="100"/>
      <c r="F293" s="481">
        <v>1</v>
      </c>
      <c r="G293" s="94"/>
      <c r="H293" s="193" t="s">
        <v>51</v>
      </c>
      <c r="I293" s="100"/>
      <c r="J293" s="321">
        <v>2</v>
      </c>
      <c r="K293" s="164"/>
      <c r="L293" s="193"/>
      <c r="M293" s="317"/>
      <c r="N293" s="323"/>
      <c r="O293" s="323"/>
      <c r="P293" s="481">
        <f>+P288</f>
        <v>128.1</v>
      </c>
      <c r="Q293" s="322"/>
      <c r="R293" s="327">
        <f t="shared" ref="R293:R299" si="244">P293/$V$6</f>
        <v>36.6</v>
      </c>
      <c r="S293" s="322"/>
      <c r="T293" s="319">
        <f t="shared" ref="T293:T299" si="245">IF(N293=0,IF(J293=0,F293*P293,F293*J293*P293),F293*J293*N293*P293)</f>
        <v>256.2</v>
      </c>
      <c r="U293" s="317"/>
      <c r="V293" s="319">
        <f t="shared" ref="V293:V299" si="246">T293/$V$6</f>
        <v>73.2</v>
      </c>
      <c r="W293" s="320"/>
      <c r="X293" s="337">
        <f t="shared" ref="X293:X299" si="247">V293/$V$3</f>
        <v>2.7244214233315433E-5</v>
      </c>
      <c r="Y293" s="167"/>
      <c r="Z293" s="326">
        <f t="shared" ref="Z293:Z300" si="248">V293/$V$601</f>
        <v>3.947435521883538E-5</v>
      </c>
      <c r="AA293" s="635">
        <v>1</v>
      </c>
      <c r="AB293" s="638">
        <f t="shared" ref="AB293:AB300" si="249">+W293+V293*AA293</f>
        <v>73.2</v>
      </c>
      <c r="AC293" s="636">
        <f t="shared" ref="AC293:AC300" si="250">+AD293/V293</f>
        <v>0</v>
      </c>
      <c r="AD293" s="292">
        <f t="shared" ref="AD293:AD300" si="251">+V293-AB293</f>
        <v>0</v>
      </c>
      <c r="AE293" s="607" t="s">
        <v>99</v>
      </c>
      <c r="AF293" s="211"/>
    </row>
    <row r="294" spans="1:32" s="112" customFormat="1" ht="15" customHeight="1" x14ac:dyDescent="0.25">
      <c r="B294" s="178" t="s">
        <v>421</v>
      </c>
      <c r="C294" s="318"/>
      <c r="D294" s="193" t="s">
        <v>50</v>
      </c>
      <c r="E294" s="100"/>
      <c r="F294" s="481">
        <v>1</v>
      </c>
      <c r="G294" s="94"/>
      <c r="H294" s="193" t="s">
        <v>51</v>
      </c>
      <c r="I294" s="100"/>
      <c r="J294" s="321">
        <v>2</v>
      </c>
      <c r="K294" s="164"/>
      <c r="L294" s="193"/>
      <c r="M294" s="317"/>
      <c r="N294" s="323"/>
      <c r="O294" s="323"/>
      <c r="P294" s="481">
        <f>+P289</f>
        <v>226.57906849315069</v>
      </c>
      <c r="Q294" s="322"/>
      <c r="R294" s="327">
        <f t="shared" si="244"/>
        <v>64.736876712328765</v>
      </c>
      <c r="S294" s="322"/>
      <c r="T294" s="319">
        <f t="shared" si="245"/>
        <v>453.15813698630137</v>
      </c>
      <c r="U294" s="317"/>
      <c r="V294" s="319">
        <f t="shared" si="246"/>
        <v>129.47375342465753</v>
      </c>
      <c r="W294" s="320"/>
      <c r="X294" s="337">
        <f t="shared" si="247"/>
        <v>4.8188670435694361E-5</v>
      </c>
      <c r="Y294" s="167"/>
      <c r="Z294" s="326">
        <f t="shared" si="248"/>
        <v>6.982094172405512E-5</v>
      </c>
      <c r="AA294" s="635">
        <v>1</v>
      </c>
      <c r="AB294" s="638">
        <f t="shared" si="249"/>
        <v>129.47375342465753</v>
      </c>
      <c r="AC294" s="636">
        <f t="shared" si="250"/>
        <v>0</v>
      </c>
      <c r="AD294" s="292">
        <f t="shared" si="251"/>
        <v>0</v>
      </c>
      <c r="AE294" s="607" t="s">
        <v>99</v>
      </c>
      <c r="AF294" s="211"/>
    </row>
    <row r="295" spans="1:32" s="112" customFormat="1" ht="15" customHeight="1" x14ac:dyDescent="0.25">
      <c r="B295" s="178" t="s">
        <v>456</v>
      </c>
      <c r="C295" s="318"/>
      <c r="D295" s="193" t="s">
        <v>50</v>
      </c>
      <c r="E295" s="100"/>
      <c r="F295" s="481">
        <v>1</v>
      </c>
      <c r="G295" s="94"/>
      <c r="H295" s="193" t="s">
        <v>51</v>
      </c>
      <c r="I295" s="100"/>
      <c r="J295" s="321">
        <v>2</v>
      </c>
      <c r="K295" s="164"/>
      <c r="L295" s="193"/>
      <c r="M295" s="317"/>
      <c r="N295" s="323"/>
      <c r="O295" s="323"/>
      <c r="P295" s="481">
        <f>+P290</f>
        <v>222.03625643835619</v>
      </c>
      <c r="Q295" s="322"/>
      <c r="R295" s="327">
        <f t="shared" si="244"/>
        <v>63.43893041095891</v>
      </c>
      <c r="S295" s="322"/>
      <c r="T295" s="319">
        <f t="shared" si="245"/>
        <v>444.07251287671238</v>
      </c>
      <c r="U295" s="317"/>
      <c r="V295" s="319">
        <f t="shared" si="246"/>
        <v>126.87786082191782</v>
      </c>
      <c r="W295" s="320"/>
      <c r="X295" s="337">
        <f t="shared" si="247"/>
        <v>4.7222508493129889E-5</v>
      </c>
      <c r="Y295" s="167"/>
      <c r="Z295" s="326">
        <f t="shared" si="248"/>
        <v>6.8421062124184975E-5</v>
      </c>
      <c r="AA295" s="635">
        <v>1</v>
      </c>
      <c r="AB295" s="638">
        <f t="shared" si="249"/>
        <v>126.87786082191782</v>
      </c>
      <c r="AC295" s="636">
        <f t="shared" si="250"/>
        <v>0</v>
      </c>
      <c r="AD295" s="292">
        <f t="shared" si="251"/>
        <v>0</v>
      </c>
      <c r="AE295" s="607" t="s">
        <v>99</v>
      </c>
      <c r="AF295" s="211"/>
    </row>
    <row r="296" spans="1:32" s="112" customFormat="1" ht="15" customHeight="1" x14ac:dyDescent="0.25">
      <c r="B296" s="178" t="s">
        <v>418</v>
      </c>
      <c r="C296" s="318"/>
      <c r="D296" s="193" t="s">
        <v>50</v>
      </c>
      <c r="E296" s="100"/>
      <c r="F296" s="481">
        <v>1</v>
      </c>
      <c r="G296" s="94"/>
      <c r="H296" s="193" t="s">
        <v>51</v>
      </c>
      <c r="I296" s="100"/>
      <c r="J296" s="321">
        <v>1</v>
      </c>
      <c r="K296" s="164"/>
      <c r="L296" s="193"/>
      <c r="M296" s="317"/>
      <c r="N296" s="323"/>
      <c r="O296" s="323"/>
      <c r="P296" s="481">
        <f>+P291</f>
        <v>383.56164383561645</v>
      </c>
      <c r="Q296" s="322"/>
      <c r="R296" s="327">
        <f t="shared" si="244"/>
        <v>109.58904109589041</v>
      </c>
      <c r="S296" s="322"/>
      <c r="T296" s="319">
        <f t="shared" si="245"/>
        <v>383.56164383561645</v>
      </c>
      <c r="U296" s="317"/>
      <c r="V296" s="319">
        <f t="shared" si="246"/>
        <v>109.58904109589041</v>
      </c>
      <c r="W296" s="320"/>
      <c r="X296" s="337">
        <f t="shared" si="247"/>
        <v>4.0787804825683706E-5</v>
      </c>
      <c r="Y296" s="167"/>
      <c r="Z296" s="326">
        <f t="shared" si="248"/>
        <v>5.9097769621731233E-5</v>
      </c>
      <c r="AA296" s="635">
        <v>1</v>
      </c>
      <c r="AB296" s="638">
        <f t="shared" si="249"/>
        <v>109.58904109589041</v>
      </c>
      <c r="AC296" s="636">
        <f t="shared" si="250"/>
        <v>0</v>
      </c>
      <c r="AD296" s="292">
        <f t="shared" si="251"/>
        <v>0</v>
      </c>
      <c r="AE296" s="607" t="s">
        <v>99</v>
      </c>
      <c r="AF296" s="211"/>
    </row>
    <row r="297" spans="1:32" s="112" customFormat="1" ht="15" customHeight="1" x14ac:dyDescent="0.25">
      <c r="B297" s="178" t="s">
        <v>457</v>
      </c>
      <c r="C297" s="318"/>
      <c r="D297" s="193" t="s">
        <v>50</v>
      </c>
      <c r="E297" s="100"/>
      <c r="F297" s="481">
        <v>1</v>
      </c>
      <c r="G297" s="94"/>
      <c r="H297" s="193" t="s">
        <v>51</v>
      </c>
      <c r="I297" s="100"/>
      <c r="J297" s="321">
        <v>1</v>
      </c>
      <c r="K297" s="164"/>
      <c r="L297" s="193"/>
      <c r="M297" s="100"/>
      <c r="N297" s="323"/>
      <c r="O297" s="165"/>
      <c r="P297" s="481">
        <f>+'Staff Detail'!B$43</f>
        <v>1582.1917808219177</v>
      </c>
      <c r="Q297" s="322"/>
      <c r="R297" s="327">
        <f t="shared" si="244"/>
        <v>452.05479452054794</v>
      </c>
      <c r="S297" s="322"/>
      <c r="T297" s="319">
        <f t="shared" si="245"/>
        <v>1582.1917808219177</v>
      </c>
      <c r="U297" s="317"/>
      <c r="V297" s="319">
        <f t="shared" si="246"/>
        <v>452.05479452054794</v>
      </c>
      <c r="W297" s="320"/>
      <c r="X297" s="337">
        <f t="shared" si="247"/>
        <v>1.6824969490594529E-4</v>
      </c>
      <c r="Y297" s="167"/>
      <c r="Z297" s="326">
        <f t="shared" si="248"/>
        <v>2.4377829968964134E-4</v>
      </c>
      <c r="AA297" s="635">
        <v>1</v>
      </c>
      <c r="AB297" s="638">
        <f t="shared" si="249"/>
        <v>452.05479452054794</v>
      </c>
      <c r="AC297" s="636">
        <f t="shared" si="250"/>
        <v>0</v>
      </c>
      <c r="AD297" s="292">
        <f t="shared" si="251"/>
        <v>0</v>
      </c>
      <c r="AE297" s="607" t="s">
        <v>99</v>
      </c>
      <c r="AF297" s="211"/>
    </row>
    <row r="298" spans="1:32" s="112" customFormat="1" ht="15" customHeight="1" x14ac:dyDescent="0.25">
      <c r="B298" s="178" t="s">
        <v>458</v>
      </c>
      <c r="C298" s="318"/>
      <c r="D298" s="193" t="s">
        <v>50</v>
      </c>
      <c r="E298" s="100"/>
      <c r="F298" s="481">
        <v>1</v>
      </c>
      <c r="G298" s="94"/>
      <c r="H298" s="193" t="s">
        <v>51</v>
      </c>
      <c r="I298" s="100"/>
      <c r="J298" s="321">
        <v>1</v>
      </c>
      <c r="K298" s="164"/>
      <c r="L298" s="193"/>
      <c r="M298" s="100"/>
      <c r="N298" s="323"/>
      <c r="O298" s="165"/>
      <c r="P298" s="481">
        <f>+'Staff Detail'!B$45</f>
        <v>1582.1917808219177</v>
      </c>
      <c r="Q298" s="322"/>
      <c r="R298" s="327">
        <f t="shared" si="244"/>
        <v>452.05479452054794</v>
      </c>
      <c r="S298" s="322"/>
      <c r="T298" s="319">
        <f t="shared" si="245"/>
        <v>1582.1917808219177</v>
      </c>
      <c r="U298" s="317"/>
      <c r="V298" s="319">
        <f t="shared" si="246"/>
        <v>452.05479452054794</v>
      </c>
      <c r="W298" s="320"/>
      <c r="X298" s="337">
        <f t="shared" si="247"/>
        <v>1.6824969490594529E-4</v>
      </c>
      <c r="Y298" s="167"/>
      <c r="Z298" s="326">
        <f t="shared" si="248"/>
        <v>2.4377829968964134E-4</v>
      </c>
      <c r="AA298" s="635">
        <v>1</v>
      </c>
      <c r="AB298" s="638">
        <f t="shared" si="249"/>
        <v>452.05479452054794</v>
      </c>
      <c r="AC298" s="636">
        <f t="shared" si="250"/>
        <v>0</v>
      </c>
      <c r="AD298" s="292">
        <f t="shared" si="251"/>
        <v>0</v>
      </c>
      <c r="AE298" s="607" t="s">
        <v>99</v>
      </c>
      <c r="AF298" s="211"/>
    </row>
    <row r="299" spans="1:32" s="112" customFormat="1" ht="15" customHeight="1" x14ac:dyDescent="0.25">
      <c r="B299" s="178" t="s">
        <v>17</v>
      </c>
      <c r="C299" s="318"/>
      <c r="D299" s="193" t="s">
        <v>98</v>
      </c>
      <c r="E299" s="317"/>
      <c r="F299" s="606">
        <v>0</v>
      </c>
      <c r="G299" s="317"/>
      <c r="H299" s="193" t="s">
        <v>54</v>
      </c>
      <c r="I299" s="100"/>
      <c r="J299" s="321">
        <v>0</v>
      </c>
      <c r="K299" s="164"/>
      <c r="L299" s="193" t="s">
        <v>51</v>
      </c>
      <c r="M299" s="163"/>
      <c r="N299" s="321">
        <v>1</v>
      </c>
      <c r="O299" s="165"/>
      <c r="P299" s="321">
        <v>0</v>
      </c>
      <c r="Q299" s="322"/>
      <c r="R299" s="327">
        <f t="shared" si="244"/>
        <v>0</v>
      </c>
      <c r="S299" s="322"/>
      <c r="T299" s="319">
        <f t="shared" si="245"/>
        <v>0</v>
      </c>
      <c r="U299" s="317"/>
      <c r="V299" s="319">
        <f t="shared" si="246"/>
        <v>0</v>
      </c>
      <c r="W299" s="320"/>
      <c r="X299" s="337">
        <f t="shared" si="247"/>
        <v>0</v>
      </c>
      <c r="Y299" s="167"/>
      <c r="Z299" s="326">
        <f t="shared" si="248"/>
        <v>0</v>
      </c>
      <c r="AA299" s="635">
        <v>1</v>
      </c>
      <c r="AB299" s="638">
        <f t="shared" si="249"/>
        <v>0</v>
      </c>
      <c r="AC299" s="636" t="e">
        <f t="shared" si="250"/>
        <v>#DIV/0!</v>
      </c>
      <c r="AD299" s="292">
        <f t="shared" si="251"/>
        <v>0</v>
      </c>
      <c r="AE299" s="611" t="s">
        <v>55</v>
      </c>
      <c r="AF299" s="211"/>
    </row>
    <row r="300" spans="1:32" s="112" customFormat="1" ht="15" customHeight="1" x14ac:dyDescent="0.25">
      <c r="A300" s="112" t="s">
        <v>464</v>
      </c>
      <c r="B300" s="495" t="s">
        <v>96</v>
      </c>
      <c r="C300" s="262"/>
      <c r="D300" s="496"/>
      <c r="E300" s="101"/>
      <c r="F300" s="497"/>
      <c r="G300" s="101"/>
      <c r="H300" s="496"/>
      <c r="I300" s="101"/>
      <c r="J300" s="498"/>
      <c r="K300" s="497"/>
      <c r="L300" s="499"/>
      <c r="M300" s="499"/>
      <c r="N300" s="500"/>
      <c r="O300" s="499"/>
      <c r="P300" s="497"/>
      <c r="Q300" s="497"/>
      <c r="R300" s="497"/>
      <c r="S300" s="497"/>
      <c r="T300" s="501">
        <f>SUM(T296:T299)</f>
        <v>3547.9452054794519</v>
      </c>
      <c r="U300" s="262"/>
      <c r="V300" s="501">
        <f>SUM(V296:V299)</f>
        <v>1013.6986301369863</v>
      </c>
      <c r="W300" s="134"/>
      <c r="X300" s="502">
        <f>SUM(X283:X299)</f>
        <v>8.268289837753607E-4</v>
      </c>
      <c r="Y300" s="469"/>
      <c r="Z300" s="503">
        <f t="shared" si="248"/>
        <v>5.4665436900101392E-4</v>
      </c>
      <c r="AA300" s="635">
        <v>1</v>
      </c>
      <c r="AB300" s="638">
        <f t="shared" si="249"/>
        <v>1013.6986301369863</v>
      </c>
      <c r="AC300" s="636">
        <f t="shared" si="250"/>
        <v>0</v>
      </c>
      <c r="AD300" s="292">
        <f t="shared" si="251"/>
        <v>0</v>
      </c>
      <c r="AE300" s="718"/>
      <c r="AF300" s="211"/>
    </row>
    <row r="301" spans="1:32" s="491" customFormat="1" ht="15" customHeight="1" x14ac:dyDescent="0.25">
      <c r="B301" s="825"/>
      <c r="C301" s="826"/>
      <c r="D301" s="827"/>
      <c r="E301" s="124"/>
      <c r="F301" s="828"/>
      <c r="G301" s="124"/>
      <c r="H301" s="827"/>
      <c r="I301" s="124"/>
      <c r="J301" s="828"/>
      <c r="K301" s="828"/>
      <c r="L301" s="826"/>
      <c r="M301" s="826"/>
      <c r="N301" s="826"/>
      <c r="O301" s="826"/>
      <c r="P301" s="828"/>
      <c r="Q301" s="828"/>
      <c r="R301" s="828"/>
      <c r="S301" s="828"/>
      <c r="T301" s="829"/>
      <c r="U301" s="826"/>
      <c r="V301" s="829"/>
      <c r="W301" s="828"/>
      <c r="X301" s="830"/>
      <c r="Y301" s="831"/>
      <c r="Z301" s="708"/>
      <c r="AA301" s="832"/>
      <c r="AB301" s="829"/>
      <c r="AC301" s="833"/>
      <c r="AD301" s="829"/>
      <c r="AE301" s="615"/>
      <c r="AF301" s="490"/>
    </row>
    <row r="302" spans="1:32" s="507" customFormat="1" ht="23.25" customHeight="1" x14ac:dyDescent="0.25">
      <c r="A302" s="507">
        <v>1.5</v>
      </c>
      <c r="B302" s="508" t="s">
        <v>168</v>
      </c>
      <c r="C302" s="509"/>
      <c r="D302" s="510"/>
      <c r="E302" s="509"/>
      <c r="F302" s="511"/>
      <c r="G302" s="509"/>
      <c r="H302" s="510"/>
      <c r="I302" s="509"/>
      <c r="J302" s="511"/>
      <c r="K302" s="511"/>
      <c r="L302" s="512"/>
      <c r="M302" s="512"/>
      <c r="N302" s="512"/>
      <c r="O302" s="512"/>
      <c r="P302" s="511"/>
      <c r="Q302" s="511"/>
      <c r="R302" s="511"/>
      <c r="S302" s="511"/>
      <c r="T302" s="513">
        <f>T279+T300</f>
        <v>45632.510849315062</v>
      </c>
      <c r="U302" s="509"/>
      <c r="V302" s="513">
        <f>V279+V300</f>
        <v>13037.860242661449</v>
      </c>
      <c r="W302" s="513"/>
      <c r="X302" s="834">
        <f>X279+X300</f>
        <v>5.3020862918030116E-3</v>
      </c>
      <c r="Y302" s="514"/>
      <c r="Z302" s="515">
        <f>V302/$V$601</f>
        <v>7.0308897064528583E-3</v>
      </c>
      <c r="AA302" s="509"/>
      <c r="AB302" s="513">
        <f>AB279+AB300</f>
        <v>13037.860242661449</v>
      </c>
      <c r="AC302" s="509"/>
      <c r="AD302" s="513">
        <f>AD279+AD300</f>
        <v>0</v>
      </c>
      <c r="AE302" s="719"/>
      <c r="AF302" s="516"/>
    </row>
    <row r="303" spans="1:32" s="112" customFormat="1" ht="15" customHeight="1" x14ac:dyDescent="0.25">
      <c r="B303" s="470" t="s">
        <v>135</v>
      </c>
      <c r="C303" s="265"/>
      <c r="D303" s="266"/>
      <c r="E303" s="504"/>
      <c r="F303" s="162"/>
      <c r="G303" s="505"/>
      <c r="H303" s="266"/>
      <c r="I303" s="504"/>
      <c r="J303" s="162"/>
      <c r="K303" s="506"/>
      <c r="L303" s="166"/>
      <c r="M303" s="166"/>
      <c r="N303" s="166"/>
      <c r="O303" s="166"/>
      <c r="P303" s="162"/>
      <c r="Q303" s="162"/>
      <c r="R303" s="162"/>
      <c r="S303" s="162"/>
      <c r="T303" s="134"/>
      <c r="U303" s="265"/>
      <c r="V303" s="134"/>
      <c r="W303" s="134"/>
      <c r="X303" s="355"/>
      <c r="Y303" s="469"/>
      <c r="Z303" s="290"/>
      <c r="AA303" s="505"/>
      <c r="AB303" s="649"/>
      <c r="AC303" s="505"/>
      <c r="AD303" s="505"/>
      <c r="AE303" s="720"/>
      <c r="AF303" s="211"/>
    </row>
    <row r="304" spans="1:32" s="112" customFormat="1" ht="15" customHeight="1" x14ac:dyDescent="0.25">
      <c r="B304" s="470"/>
      <c r="C304" s="318"/>
      <c r="D304" s="324" t="s">
        <v>135</v>
      </c>
      <c r="E304" s="100"/>
      <c r="F304" s="322"/>
      <c r="G304" s="94"/>
      <c r="H304" s="324"/>
      <c r="I304" s="100"/>
      <c r="J304" s="162"/>
      <c r="K304" s="164"/>
      <c r="L304" s="323"/>
      <c r="M304" s="323"/>
      <c r="N304" s="166"/>
      <c r="O304" s="323"/>
      <c r="P304" s="322"/>
      <c r="Q304" s="322"/>
      <c r="R304" s="322"/>
      <c r="S304" s="322"/>
      <c r="T304" s="134"/>
      <c r="U304" s="318"/>
      <c r="V304" s="134"/>
      <c r="W304" s="134"/>
      <c r="X304" s="355"/>
      <c r="Y304" s="469"/>
      <c r="Z304" s="290"/>
      <c r="AA304" s="94"/>
      <c r="AB304" s="648"/>
      <c r="AC304" s="94"/>
      <c r="AD304" s="94"/>
      <c r="AE304" s="607"/>
      <c r="AF304" s="211"/>
    </row>
    <row r="305" spans="2:32" s="112" customFormat="1" x14ac:dyDescent="0.25">
      <c r="B305" s="269" t="s">
        <v>154</v>
      </c>
      <c r="C305" s="270"/>
      <c r="D305" s="271"/>
      <c r="E305" s="272"/>
      <c r="F305" s="272"/>
      <c r="G305" s="272"/>
      <c r="H305" s="271"/>
      <c r="I305" s="272"/>
      <c r="J305" s="272"/>
      <c r="K305" s="272"/>
      <c r="L305" s="272"/>
      <c r="M305" s="272"/>
      <c r="N305" s="272"/>
      <c r="O305" s="272"/>
      <c r="P305" s="272"/>
      <c r="Q305" s="272"/>
      <c r="R305" s="272"/>
      <c r="S305" s="272"/>
      <c r="T305" s="272"/>
      <c r="U305" s="272"/>
      <c r="V305" s="272"/>
      <c r="W305" s="272"/>
      <c r="X305" s="335"/>
      <c r="Y305" s="273"/>
      <c r="Z305" s="273"/>
      <c r="AA305" s="272"/>
      <c r="AB305" s="642"/>
      <c r="AC305" s="272"/>
      <c r="AD305" s="634"/>
      <c r="AE305" s="713"/>
      <c r="AF305" s="211"/>
    </row>
    <row r="306" spans="2:32" s="112" customFormat="1" ht="15" customHeight="1" x14ac:dyDescent="0.25">
      <c r="B306" s="470" t="s">
        <v>153</v>
      </c>
      <c r="C306" s="318"/>
      <c r="D306" s="324" t="s">
        <v>135</v>
      </c>
      <c r="E306" s="100"/>
      <c r="F306" s="322"/>
      <c r="G306" s="94"/>
      <c r="H306" s="324"/>
      <c r="I306" s="100"/>
      <c r="J306" s="162"/>
      <c r="K306" s="164"/>
      <c r="L306" s="323"/>
      <c r="M306" s="323"/>
      <c r="N306" s="166"/>
      <c r="O306" s="323"/>
      <c r="P306" s="322"/>
      <c r="Q306" s="322"/>
      <c r="R306" s="322"/>
      <c r="S306" s="322"/>
      <c r="T306" s="134"/>
      <c r="U306" s="318"/>
      <c r="V306" s="134"/>
      <c r="W306" s="134"/>
      <c r="X306" s="355"/>
      <c r="Y306" s="469"/>
      <c r="Z306" s="290"/>
      <c r="AA306" s="94"/>
      <c r="AB306" s="648"/>
      <c r="AC306" s="94"/>
      <c r="AD306" s="94"/>
      <c r="AE306" s="607"/>
      <c r="AF306" s="211"/>
    </row>
    <row r="307" spans="2:32" s="112" customFormat="1" ht="15" customHeight="1" x14ac:dyDescent="0.25">
      <c r="B307" s="470" t="s">
        <v>536</v>
      </c>
      <c r="C307" s="318"/>
      <c r="D307" s="324"/>
      <c r="E307" s="100"/>
      <c r="F307" s="322"/>
      <c r="G307" s="94"/>
      <c r="H307" s="324"/>
      <c r="I307" s="100"/>
      <c r="J307" s="162"/>
      <c r="K307" s="164"/>
      <c r="L307" s="323"/>
      <c r="M307" s="323"/>
      <c r="N307" s="166"/>
      <c r="O307" s="323"/>
      <c r="P307" s="322"/>
      <c r="Q307" s="322"/>
      <c r="R307" s="322"/>
      <c r="S307" s="322"/>
      <c r="T307" s="134"/>
      <c r="U307" s="318"/>
      <c r="V307" s="134"/>
      <c r="W307" s="134"/>
      <c r="X307" s="355"/>
      <c r="Y307" s="469"/>
      <c r="Z307" s="290"/>
      <c r="AA307" s="94"/>
      <c r="AB307" s="648"/>
      <c r="AC307" s="94"/>
      <c r="AD307" s="94"/>
      <c r="AE307" s="607"/>
      <c r="AF307" s="211"/>
    </row>
    <row r="308" spans="2:32" s="112" customFormat="1" ht="15" customHeight="1" x14ac:dyDescent="0.25">
      <c r="B308" s="177" t="s">
        <v>451</v>
      </c>
      <c r="C308" s="318"/>
      <c r="D308" s="324"/>
      <c r="E308" s="100"/>
      <c r="F308" s="322"/>
      <c r="G308" s="94"/>
      <c r="H308" s="324"/>
      <c r="I308" s="100"/>
      <c r="J308" s="162"/>
      <c r="K308" s="164"/>
      <c r="L308" s="323"/>
      <c r="M308" s="323"/>
      <c r="N308" s="166"/>
      <c r="O308" s="323"/>
      <c r="P308" s="322"/>
      <c r="Q308" s="322"/>
      <c r="R308" s="322"/>
      <c r="S308" s="322"/>
      <c r="T308" s="302"/>
      <c r="U308" s="318"/>
      <c r="V308" s="302"/>
      <c r="W308" s="134"/>
      <c r="X308" s="344"/>
      <c r="Y308" s="240"/>
      <c r="Z308" s="290"/>
      <c r="AA308" s="94"/>
      <c r="AB308" s="648"/>
      <c r="AC308" s="94"/>
      <c r="AD308" s="94"/>
      <c r="AE308" s="607"/>
      <c r="AF308" s="211"/>
    </row>
    <row r="309" spans="2:32" s="491" customFormat="1" ht="15" customHeight="1" x14ac:dyDescent="0.25">
      <c r="B309" s="178" t="s">
        <v>496</v>
      </c>
      <c r="C309" s="478"/>
      <c r="D309" s="479" t="s">
        <v>50</v>
      </c>
      <c r="E309" s="482"/>
      <c r="F309" s="481">
        <v>1</v>
      </c>
      <c r="G309" s="659"/>
      <c r="H309" s="479" t="s">
        <v>51</v>
      </c>
      <c r="I309" s="482"/>
      <c r="J309" s="481">
        <v>1</v>
      </c>
      <c r="K309" s="541"/>
      <c r="L309" s="765"/>
      <c r="M309" s="480"/>
      <c r="N309" s="478"/>
      <c r="O309" s="478"/>
      <c r="P309" s="481">
        <f>+'Staff Detail'!B$15</f>
        <v>119.56</v>
      </c>
      <c r="Q309" s="483"/>
      <c r="R309" s="484">
        <f t="shared" ref="R309:R311" si="252">P309/$V$6</f>
        <v>34.160000000000004</v>
      </c>
      <c r="S309" s="483"/>
      <c r="T309" s="485">
        <f t="shared" ref="T309:T311" si="253">IF(N309=0,IF(J309=0,F309*P309,F309*J309*P309),F309*J309*N309*P309)</f>
        <v>119.56</v>
      </c>
      <c r="U309" s="480"/>
      <c r="V309" s="485">
        <f t="shared" ref="V309:V311" si="254">T309/$V$6</f>
        <v>34.160000000000004</v>
      </c>
      <c r="W309" s="486"/>
      <c r="X309" s="487">
        <f t="shared" ref="X309:X311" si="255">V309/$V$3</f>
        <v>1.271396664221387E-5</v>
      </c>
      <c r="Y309" s="488"/>
      <c r="Z309" s="489">
        <f>V309/$V$601</f>
        <v>1.8421365768789845E-5</v>
      </c>
      <c r="AA309" s="660">
        <v>0</v>
      </c>
      <c r="AB309" s="661">
        <f>+W309+V309*AA309</f>
        <v>0</v>
      </c>
      <c r="AC309" s="662">
        <f t="shared" ref="AC309:AC311" si="256">+AD309/V309</f>
        <v>1</v>
      </c>
      <c r="AD309" s="483">
        <f>+V309-AB309</f>
        <v>34.160000000000004</v>
      </c>
      <c r="AE309" s="607" t="s">
        <v>99</v>
      </c>
      <c r="AF309" s="490"/>
    </row>
    <row r="310" spans="2:32" s="491" customFormat="1" ht="15" customHeight="1" x14ac:dyDescent="0.25">
      <c r="B310" s="178" t="s">
        <v>140</v>
      </c>
      <c r="C310" s="478"/>
      <c r="D310" s="479" t="s">
        <v>50</v>
      </c>
      <c r="E310" s="479" t="s">
        <v>50</v>
      </c>
      <c r="F310" s="481">
        <v>1</v>
      </c>
      <c r="G310" s="659"/>
      <c r="H310" s="479" t="s">
        <v>51</v>
      </c>
      <c r="I310" s="482"/>
      <c r="J310" s="481">
        <v>1</v>
      </c>
      <c r="K310" s="541"/>
      <c r="L310" s="765"/>
      <c r="M310" s="480"/>
      <c r="N310" s="478"/>
      <c r="O310" s="478"/>
      <c r="P310" s="481">
        <f>+'Staff Detail'!B$20</f>
        <v>128.1</v>
      </c>
      <c r="Q310" s="483"/>
      <c r="R310" s="484">
        <f t="shared" si="252"/>
        <v>36.6</v>
      </c>
      <c r="S310" s="483"/>
      <c r="T310" s="485">
        <f t="shared" si="253"/>
        <v>128.1</v>
      </c>
      <c r="U310" s="480"/>
      <c r="V310" s="485">
        <f t="shared" si="254"/>
        <v>36.6</v>
      </c>
      <c r="W310" s="486"/>
      <c r="X310" s="487">
        <f t="shared" si="255"/>
        <v>1.3622107116657716E-5</v>
      </c>
      <c r="Y310" s="488"/>
      <c r="Z310" s="489">
        <f>V310/$V$601</f>
        <v>1.973717760941769E-5</v>
      </c>
      <c r="AA310" s="660">
        <v>1</v>
      </c>
      <c r="AB310" s="661">
        <f>+W310+V310*AA310</f>
        <v>36.6</v>
      </c>
      <c r="AC310" s="662">
        <f t="shared" si="256"/>
        <v>0</v>
      </c>
      <c r="AD310" s="483">
        <f>+V310-AB310</f>
        <v>0</v>
      </c>
      <c r="AE310" s="607" t="s">
        <v>99</v>
      </c>
      <c r="AF310" s="490"/>
    </row>
    <row r="311" spans="2:32" s="491" customFormat="1" ht="15" customHeight="1" x14ac:dyDescent="0.25">
      <c r="B311" s="178" t="s">
        <v>422</v>
      </c>
      <c r="C311" s="478"/>
      <c r="D311" s="479" t="s">
        <v>50</v>
      </c>
      <c r="E311" s="482"/>
      <c r="F311" s="481">
        <v>1</v>
      </c>
      <c r="G311" s="659"/>
      <c r="H311" s="479" t="s">
        <v>51</v>
      </c>
      <c r="I311" s="482"/>
      <c r="J311" s="481">
        <v>1</v>
      </c>
      <c r="K311" s="541"/>
      <c r="L311" s="765"/>
      <c r="M311" s="480"/>
      <c r="N311" s="478"/>
      <c r="O311" s="478"/>
      <c r="P311" s="481">
        <f>+'Staff Detail'!B$26</f>
        <v>320.96027397260275</v>
      </c>
      <c r="Q311" s="483"/>
      <c r="R311" s="484">
        <f t="shared" si="252"/>
        <v>91.702935420743643</v>
      </c>
      <c r="S311" s="483"/>
      <c r="T311" s="485">
        <f t="shared" si="253"/>
        <v>320.96027397260275</v>
      </c>
      <c r="U311" s="480"/>
      <c r="V311" s="485">
        <f t="shared" si="254"/>
        <v>91.702935420743643</v>
      </c>
      <c r="W311" s="486"/>
      <c r="X311" s="487">
        <f t="shared" si="255"/>
        <v>3.4130798065937568E-5</v>
      </c>
      <c r="Y311" s="488"/>
      <c r="Z311" s="489">
        <f>V311/$V$601</f>
        <v>4.9452380429075889E-5</v>
      </c>
      <c r="AA311" s="660">
        <v>1</v>
      </c>
      <c r="AB311" s="661">
        <f>+W311+V311*AA311</f>
        <v>91.702935420743643</v>
      </c>
      <c r="AC311" s="662">
        <f t="shared" si="256"/>
        <v>0</v>
      </c>
      <c r="AD311" s="483">
        <f>+V311-AB311</f>
        <v>0</v>
      </c>
      <c r="AE311" s="607" t="s">
        <v>99</v>
      </c>
      <c r="AF311" s="490"/>
    </row>
    <row r="312" spans="2:32" s="491" customFormat="1" ht="15" customHeight="1" x14ac:dyDescent="0.25">
      <c r="B312" s="799" t="s">
        <v>207</v>
      </c>
      <c r="C312" s="478"/>
      <c r="D312" s="479"/>
      <c r="E312" s="482"/>
      <c r="F312" s="481"/>
      <c r="G312" s="659"/>
      <c r="H312" s="479"/>
      <c r="I312" s="482"/>
      <c r="J312" s="481"/>
      <c r="K312" s="541"/>
      <c r="L312" s="765"/>
      <c r="M312" s="480"/>
      <c r="N312" s="478"/>
      <c r="O312" s="478"/>
      <c r="P312" s="481"/>
      <c r="Q312" s="483"/>
      <c r="R312" s="484"/>
      <c r="S312" s="483"/>
      <c r="T312" s="485"/>
      <c r="U312" s="480"/>
      <c r="V312" s="485"/>
      <c r="W312" s="486"/>
      <c r="X312" s="487"/>
      <c r="Y312" s="488"/>
      <c r="Z312" s="489"/>
      <c r="AA312" s="660"/>
      <c r="AB312" s="661"/>
      <c r="AC312" s="662"/>
      <c r="AD312" s="483"/>
      <c r="AE312" s="607"/>
      <c r="AF312" s="490"/>
    </row>
    <row r="313" spans="2:32" s="491" customFormat="1" ht="15" customHeight="1" x14ac:dyDescent="0.25">
      <c r="B313" s="178" t="s">
        <v>421</v>
      </c>
      <c r="C313" s="478"/>
      <c r="D313" s="479" t="s">
        <v>50</v>
      </c>
      <c r="E313" s="482"/>
      <c r="F313" s="481">
        <v>1</v>
      </c>
      <c r="G313" s="659"/>
      <c r="H313" s="479" t="s">
        <v>51</v>
      </c>
      <c r="I313" s="482"/>
      <c r="J313" s="481">
        <v>1</v>
      </c>
      <c r="K313" s="541"/>
      <c r="L313" s="765"/>
      <c r="M313" s="480"/>
      <c r="N313" s="478"/>
      <c r="O313" s="478"/>
      <c r="P313" s="481">
        <f>+'Staff Detail'!B$27</f>
        <v>226.57906849315069</v>
      </c>
      <c r="Q313" s="483"/>
      <c r="R313" s="484">
        <f t="shared" ref="R313:R315" si="257">P313/$V$6</f>
        <v>64.736876712328765</v>
      </c>
      <c r="S313" s="483"/>
      <c r="T313" s="485">
        <f t="shared" ref="T313:T315" si="258">IF(N313=0,IF(J313=0,F313*P313,F313*J313*P313),F313*J313*N313*P313)</f>
        <v>226.57906849315069</v>
      </c>
      <c r="U313" s="480"/>
      <c r="V313" s="485">
        <f t="shared" ref="V313:V315" si="259">T313/$V$6</f>
        <v>64.736876712328765</v>
      </c>
      <c r="W313" s="486"/>
      <c r="X313" s="487">
        <f t="shared" ref="X313:X315" si="260">V313/$V$3</f>
        <v>2.409433521784718E-5</v>
      </c>
      <c r="Y313" s="488"/>
      <c r="Z313" s="489">
        <f>V313/$V$601</f>
        <v>3.491047086202756E-5</v>
      </c>
      <c r="AA313" s="660">
        <v>1</v>
      </c>
      <c r="AB313" s="661">
        <f>+W313+V313*AA313</f>
        <v>64.736876712328765</v>
      </c>
      <c r="AC313" s="662">
        <f t="shared" ref="AC313:AC315" si="261">+AD313/V313</f>
        <v>0</v>
      </c>
      <c r="AD313" s="483">
        <f>+V313-AB313</f>
        <v>0</v>
      </c>
      <c r="AE313" s="607" t="s">
        <v>99</v>
      </c>
      <c r="AF313" s="490"/>
    </row>
    <row r="314" spans="2:32" s="491" customFormat="1" ht="15" customHeight="1" x14ac:dyDescent="0.25">
      <c r="B314" s="178" t="s">
        <v>453</v>
      </c>
      <c r="C314" s="478"/>
      <c r="D314" s="479" t="s">
        <v>50</v>
      </c>
      <c r="E314" s="482"/>
      <c r="F314" s="481">
        <v>1</v>
      </c>
      <c r="G314" s="659"/>
      <c r="H314" s="479" t="s">
        <v>51</v>
      </c>
      <c r="I314" s="482"/>
      <c r="J314" s="481">
        <v>1</v>
      </c>
      <c r="K314" s="541"/>
      <c r="L314" s="765"/>
      <c r="M314" s="480"/>
      <c r="N314" s="478"/>
      <c r="O314" s="478"/>
      <c r="P314" s="481">
        <f>+P310</f>
        <v>128.1</v>
      </c>
      <c r="Q314" s="483"/>
      <c r="R314" s="484">
        <f t="shared" si="257"/>
        <v>36.6</v>
      </c>
      <c r="S314" s="483"/>
      <c r="T314" s="485">
        <f t="shared" si="258"/>
        <v>128.1</v>
      </c>
      <c r="U314" s="480"/>
      <c r="V314" s="485">
        <f t="shared" si="259"/>
        <v>36.6</v>
      </c>
      <c r="W314" s="486"/>
      <c r="X314" s="487">
        <f t="shared" si="260"/>
        <v>1.3622107116657716E-5</v>
      </c>
      <c r="Y314" s="488"/>
      <c r="Z314" s="489">
        <f>V314/$V$601</f>
        <v>1.973717760941769E-5</v>
      </c>
      <c r="AA314" s="660">
        <v>1</v>
      </c>
      <c r="AB314" s="661">
        <f>+W314+V314*AA314</f>
        <v>36.6</v>
      </c>
      <c r="AC314" s="662">
        <f t="shared" si="261"/>
        <v>0</v>
      </c>
      <c r="AD314" s="483">
        <f>+V314-AB314</f>
        <v>0</v>
      </c>
      <c r="AE314" s="607" t="s">
        <v>99</v>
      </c>
      <c r="AF314" s="490"/>
    </row>
    <row r="315" spans="2:32" s="491" customFormat="1" ht="15" customHeight="1" x14ac:dyDescent="0.25">
      <c r="B315" s="178" t="s">
        <v>496</v>
      </c>
      <c r="C315" s="478"/>
      <c r="D315" s="479" t="s">
        <v>50</v>
      </c>
      <c r="E315" s="480"/>
      <c r="F315" s="481">
        <v>1</v>
      </c>
      <c r="G315" s="480"/>
      <c r="H315" s="479" t="s">
        <v>51</v>
      </c>
      <c r="I315" s="482"/>
      <c r="J315" s="481">
        <v>1</v>
      </c>
      <c r="K315" s="541"/>
      <c r="L315" s="765"/>
      <c r="M315" s="482"/>
      <c r="N315" s="478"/>
      <c r="O315" s="543"/>
      <c r="P315" s="481">
        <f>+P309</f>
        <v>119.56</v>
      </c>
      <c r="Q315" s="483"/>
      <c r="R315" s="484">
        <f t="shared" si="257"/>
        <v>34.160000000000004</v>
      </c>
      <c r="S315" s="483"/>
      <c r="T315" s="485">
        <f t="shared" si="258"/>
        <v>119.56</v>
      </c>
      <c r="U315" s="480"/>
      <c r="V315" s="485">
        <f t="shared" si="259"/>
        <v>34.160000000000004</v>
      </c>
      <c r="W315" s="486"/>
      <c r="X315" s="487">
        <f t="shared" si="260"/>
        <v>1.271396664221387E-5</v>
      </c>
      <c r="Y315" s="488"/>
      <c r="Z315" s="489">
        <f>V315/$V$601</f>
        <v>1.8421365768789845E-5</v>
      </c>
      <c r="AA315" s="660">
        <v>1</v>
      </c>
      <c r="AB315" s="661">
        <f>+W315+V315*AA315</f>
        <v>34.160000000000004</v>
      </c>
      <c r="AC315" s="662">
        <f t="shared" si="261"/>
        <v>0</v>
      </c>
      <c r="AD315" s="483">
        <f>+V315-AB315</f>
        <v>0</v>
      </c>
      <c r="AE315" s="607" t="s">
        <v>99</v>
      </c>
      <c r="AF315" s="490"/>
    </row>
    <row r="316" spans="2:32" s="491" customFormat="1" ht="15" customHeight="1" x14ac:dyDescent="0.25">
      <c r="B316" s="799" t="s">
        <v>208</v>
      </c>
      <c r="C316" s="478"/>
      <c r="D316" s="479"/>
      <c r="E316" s="480"/>
      <c r="F316" s="481"/>
      <c r="G316" s="480"/>
      <c r="H316" s="479"/>
      <c r="I316" s="482"/>
      <c r="J316" s="481"/>
      <c r="K316" s="541"/>
      <c r="L316" s="765"/>
      <c r="M316" s="482"/>
      <c r="N316" s="478"/>
      <c r="O316" s="543"/>
      <c r="P316" s="481"/>
      <c r="Q316" s="483"/>
      <c r="R316" s="484"/>
      <c r="S316" s="483"/>
      <c r="T316" s="485"/>
      <c r="U316" s="480"/>
      <c r="V316" s="485"/>
      <c r="W316" s="486"/>
      <c r="X316" s="487"/>
      <c r="Y316" s="488"/>
      <c r="Z316" s="489"/>
      <c r="AA316" s="660"/>
      <c r="AB316" s="661"/>
      <c r="AC316" s="662"/>
      <c r="AD316" s="483"/>
      <c r="AE316" s="607"/>
      <c r="AF316" s="490"/>
    </row>
    <row r="317" spans="2:32" s="491" customFormat="1" ht="15" customHeight="1" x14ac:dyDescent="0.25">
      <c r="B317" s="178" t="s">
        <v>453</v>
      </c>
      <c r="C317" s="478"/>
      <c r="D317" s="479" t="s">
        <v>50</v>
      </c>
      <c r="E317" s="480"/>
      <c r="F317" s="481">
        <v>1</v>
      </c>
      <c r="G317" s="480"/>
      <c r="H317" s="479" t="s">
        <v>51</v>
      </c>
      <c r="I317" s="482"/>
      <c r="J317" s="481">
        <v>1</v>
      </c>
      <c r="K317" s="541"/>
      <c r="L317" s="765"/>
      <c r="M317" s="482"/>
      <c r="N317" s="478"/>
      <c r="O317" s="543"/>
      <c r="P317" s="481">
        <f>+'Staff Detail'!B$14</f>
        <v>128.1</v>
      </c>
      <c r="Q317" s="483"/>
      <c r="R317" s="484">
        <f t="shared" ref="R317:R320" si="262">P317/$V$6</f>
        <v>36.6</v>
      </c>
      <c r="S317" s="483"/>
      <c r="T317" s="485">
        <f t="shared" ref="T317:T320" si="263">IF(N317=0,IF(J317=0,F317*P317,F317*J317*P317),F317*J317*N317*P317)</f>
        <v>128.1</v>
      </c>
      <c r="U317" s="480"/>
      <c r="V317" s="485">
        <f t="shared" ref="V317:V321" si="264">T317/$V$6</f>
        <v>36.6</v>
      </c>
      <c r="W317" s="486"/>
      <c r="X317" s="487">
        <f t="shared" ref="X317:X320" si="265">V317/$V$3</f>
        <v>1.3622107116657716E-5</v>
      </c>
      <c r="Y317" s="488"/>
      <c r="Z317" s="489">
        <f t="shared" ref="Z317:Z325" si="266">V317/$V$601</f>
        <v>1.973717760941769E-5</v>
      </c>
      <c r="AA317" s="660">
        <v>1</v>
      </c>
      <c r="AB317" s="661">
        <f t="shared" ref="AB317:AB324" si="267">+W317+V317*AA317</f>
        <v>36.6</v>
      </c>
      <c r="AC317" s="662">
        <f t="shared" ref="AC317:AC321" si="268">+AD317/V317</f>
        <v>0</v>
      </c>
      <c r="AD317" s="483">
        <f t="shared" ref="AD317:AD324" si="269">+V317-AB317</f>
        <v>0</v>
      </c>
      <c r="AE317" s="607" t="s">
        <v>99</v>
      </c>
      <c r="AF317" s="490"/>
    </row>
    <row r="318" spans="2:32" s="491" customFormat="1" ht="15" customHeight="1" x14ac:dyDescent="0.25">
      <c r="B318" s="178" t="s">
        <v>496</v>
      </c>
      <c r="C318" s="478"/>
      <c r="D318" s="479" t="s">
        <v>50</v>
      </c>
      <c r="E318" s="480"/>
      <c r="F318" s="481">
        <v>1</v>
      </c>
      <c r="G318" s="480"/>
      <c r="H318" s="479" t="s">
        <v>51</v>
      </c>
      <c r="I318" s="482"/>
      <c r="J318" s="481">
        <v>1</v>
      </c>
      <c r="K318" s="541"/>
      <c r="L318" s="765"/>
      <c r="M318" s="482"/>
      <c r="N318" s="478"/>
      <c r="O318" s="543"/>
      <c r="P318" s="481">
        <f>+'Staff Detail'!B21</f>
        <v>119.56</v>
      </c>
      <c r="Q318" s="483"/>
      <c r="R318" s="484">
        <f t="shared" si="262"/>
        <v>34.160000000000004</v>
      </c>
      <c r="S318" s="483"/>
      <c r="T318" s="485">
        <f t="shared" si="263"/>
        <v>119.56</v>
      </c>
      <c r="U318" s="480"/>
      <c r="V318" s="485">
        <f t="shared" si="264"/>
        <v>34.160000000000004</v>
      </c>
      <c r="W318" s="486"/>
      <c r="X318" s="487">
        <f t="shared" si="265"/>
        <v>1.271396664221387E-5</v>
      </c>
      <c r="Y318" s="488"/>
      <c r="Z318" s="489">
        <f t="shared" si="266"/>
        <v>1.8421365768789845E-5</v>
      </c>
      <c r="AA318" s="660">
        <v>0</v>
      </c>
      <c r="AB318" s="661">
        <f t="shared" si="267"/>
        <v>0</v>
      </c>
      <c r="AC318" s="662">
        <f t="shared" si="268"/>
        <v>1</v>
      </c>
      <c r="AD318" s="483">
        <f t="shared" si="269"/>
        <v>34.160000000000004</v>
      </c>
      <c r="AE318" s="607" t="s">
        <v>99</v>
      </c>
      <c r="AF318" s="490"/>
    </row>
    <row r="319" spans="2:32" s="491" customFormat="1" ht="15" customHeight="1" x14ac:dyDescent="0.25">
      <c r="B319" s="178" t="s">
        <v>412</v>
      </c>
      <c r="C319" s="478"/>
      <c r="D319" s="479" t="s">
        <v>50</v>
      </c>
      <c r="E319" s="480"/>
      <c r="F319" s="481">
        <v>1</v>
      </c>
      <c r="G319" s="480"/>
      <c r="H319" s="479" t="s">
        <v>51</v>
      </c>
      <c r="I319" s="482"/>
      <c r="J319" s="481">
        <v>1</v>
      </c>
      <c r="K319" s="541"/>
      <c r="L319" s="765"/>
      <c r="M319" s="482"/>
      <c r="N319" s="478"/>
      <c r="O319" s="543"/>
      <c r="P319" s="481">
        <f>+'Staff Detail'!B$37</f>
        <v>383.56164383561645</v>
      </c>
      <c r="Q319" s="483"/>
      <c r="R319" s="484">
        <f t="shared" si="262"/>
        <v>109.58904109589041</v>
      </c>
      <c r="S319" s="483"/>
      <c r="T319" s="485">
        <f t="shared" si="263"/>
        <v>383.56164383561645</v>
      </c>
      <c r="U319" s="480"/>
      <c r="V319" s="485">
        <f t="shared" si="264"/>
        <v>109.58904109589041</v>
      </c>
      <c r="W319" s="486"/>
      <c r="X319" s="487">
        <f t="shared" si="265"/>
        <v>4.0787804825683706E-5</v>
      </c>
      <c r="Y319" s="488"/>
      <c r="Z319" s="489">
        <f t="shared" si="266"/>
        <v>5.9097769621731233E-5</v>
      </c>
      <c r="AA319" s="660">
        <v>1</v>
      </c>
      <c r="AB319" s="661">
        <f t="shared" si="267"/>
        <v>109.58904109589041</v>
      </c>
      <c r="AC319" s="662">
        <f t="shared" si="268"/>
        <v>0</v>
      </c>
      <c r="AD319" s="483">
        <f t="shared" si="269"/>
        <v>0</v>
      </c>
      <c r="AE319" s="607" t="s">
        <v>99</v>
      </c>
      <c r="AF319" s="490"/>
    </row>
    <row r="320" spans="2:32" s="491" customFormat="1" ht="15" customHeight="1" x14ac:dyDescent="0.25">
      <c r="B320" s="178" t="s">
        <v>418</v>
      </c>
      <c r="C320" s="478"/>
      <c r="D320" s="479" t="s">
        <v>50</v>
      </c>
      <c r="E320" s="480"/>
      <c r="F320" s="481">
        <v>2</v>
      </c>
      <c r="G320" s="480"/>
      <c r="H320" s="479" t="s">
        <v>51</v>
      </c>
      <c r="I320" s="482"/>
      <c r="J320" s="481">
        <v>1</v>
      </c>
      <c r="K320" s="541"/>
      <c r="L320" s="765"/>
      <c r="M320" s="482"/>
      <c r="N320" s="478"/>
      <c r="O320" s="543"/>
      <c r="P320" s="481">
        <f>+'Staff Detail'!B$38</f>
        <v>383.56164383561645</v>
      </c>
      <c r="Q320" s="483"/>
      <c r="R320" s="484">
        <f t="shared" si="262"/>
        <v>109.58904109589041</v>
      </c>
      <c r="S320" s="483"/>
      <c r="T320" s="485">
        <f t="shared" si="263"/>
        <v>767.1232876712329</v>
      </c>
      <c r="U320" s="480"/>
      <c r="V320" s="485">
        <f t="shared" si="264"/>
        <v>219.17808219178082</v>
      </c>
      <c r="W320" s="486"/>
      <c r="X320" s="487">
        <f t="shared" si="265"/>
        <v>8.1575609651367411E-5</v>
      </c>
      <c r="Y320" s="488"/>
      <c r="Z320" s="489">
        <f t="shared" si="266"/>
        <v>1.1819553924346247E-4</v>
      </c>
      <c r="AA320" s="660">
        <v>1</v>
      </c>
      <c r="AB320" s="661">
        <f t="shared" si="267"/>
        <v>219.17808219178082</v>
      </c>
      <c r="AC320" s="662">
        <f t="shared" si="268"/>
        <v>0</v>
      </c>
      <c r="AD320" s="483">
        <f t="shared" si="269"/>
        <v>0</v>
      </c>
      <c r="AE320" s="607" t="s">
        <v>99</v>
      </c>
      <c r="AF320" s="490"/>
    </row>
    <row r="321" spans="1:33" s="595" customFormat="1" ht="15" customHeight="1" x14ac:dyDescent="0.25">
      <c r="B321" s="178" t="s">
        <v>571</v>
      </c>
      <c r="C321" s="478"/>
      <c r="D321" s="479" t="s">
        <v>50</v>
      </c>
      <c r="E321" s="482"/>
      <c r="F321" s="481">
        <v>1</v>
      </c>
      <c r="G321" s="659"/>
      <c r="H321" s="479" t="s">
        <v>51</v>
      </c>
      <c r="I321" s="482"/>
      <c r="J321" s="481">
        <v>7</v>
      </c>
      <c r="K321" s="541"/>
      <c r="L321" s="479"/>
      <c r="M321" s="480"/>
      <c r="N321" s="478"/>
      <c r="O321" s="478"/>
      <c r="P321" s="965">
        <f>+'Staff Detail'!B28</f>
        <v>249.04043835616437</v>
      </c>
      <c r="Q321" s="483"/>
      <c r="R321" s="484">
        <f>P321/$V$6</f>
        <v>71.154410958904108</v>
      </c>
      <c r="S321" s="483"/>
      <c r="T321" s="485">
        <f>IF(N321=0,IF(J321=0,F321*P321,F321*J321*P321),F321*J321*N321*P321)</f>
        <v>1743.2830684931505</v>
      </c>
      <c r="U321" s="480"/>
      <c r="V321" s="485">
        <f t="shared" si="264"/>
        <v>498.08087671232869</v>
      </c>
      <c r="W321" s="486"/>
      <c r="X321" s="487">
        <f>V321/$V$3</f>
        <v>1.853800834790745E-4</v>
      </c>
      <c r="Y321" s="488"/>
      <c r="Z321" s="489">
        <f t="shared" si="266"/>
        <v>2.6859865375753296E-4</v>
      </c>
      <c r="AA321" s="662">
        <v>0.16666666666666666</v>
      </c>
      <c r="AB321" s="661">
        <f t="shared" si="267"/>
        <v>83.013479452054781</v>
      </c>
      <c r="AC321" s="662">
        <f t="shared" si="268"/>
        <v>0.83333333333333326</v>
      </c>
      <c r="AD321" s="483">
        <f t="shared" si="269"/>
        <v>415.06739726027388</v>
      </c>
      <c r="AE321" s="607" t="s">
        <v>99</v>
      </c>
      <c r="AF321" s="610"/>
    </row>
    <row r="322" spans="1:33" s="491" customFormat="1" ht="15" customHeight="1" x14ac:dyDescent="0.25">
      <c r="B322" s="178" t="s">
        <v>300</v>
      </c>
      <c r="C322" s="478"/>
      <c r="D322" s="479" t="s">
        <v>50</v>
      </c>
      <c r="E322" s="480"/>
      <c r="F322" s="481">
        <f>+SUM(F309:F320)</f>
        <v>11</v>
      </c>
      <c r="G322" s="480"/>
      <c r="H322" s="479" t="s">
        <v>51</v>
      </c>
      <c r="I322" s="482"/>
      <c r="J322" s="481">
        <v>1</v>
      </c>
      <c r="K322" s="541"/>
      <c r="L322" s="765"/>
      <c r="M322" s="482"/>
      <c r="N322" s="478"/>
      <c r="O322" s="543"/>
      <c r="P322" s="481">
        <f>'Staff Detail'!B50</f>
        <v>75</v>
      </c>
      <c r="Q322" s="483"/>
      <c r="R322" s="484">
        <f t="shared" ref="R322" si="270">P322/$V$6</f>
        <v>21.428571428571427</v>
      </c>
      <c r="S322" s="483"/>
      <c r="T322" s="485">
        <f t="shared" ref="T322" si="271">IF(N322=0,IF(J322=0,F322*P322,F322*J322*P322),F322*J322*N322*P322)</f>
        <v>825</v>
      </c>
      <c r="U322" s="480"/>
      <c r="V322" s="485">
        <f t="shared" ref="V322" si="272">T322/$V$6</f>
        <v>235.71428571428572</v>
      </c>
      <c r="W322" s="486"/>
      <c r="X322" s="487">
        <f t="shared" ref="X322" si="273">V322/$V$3</f>
        <v>8.7730198058100047E-5</v>
      </c>
      <c r="Y322" s="488"/>
      <c r="Z322" s="489">
        <f t="shared" si="266"/>
        <v>1.2711297055245584E-4</v>
      </c>
      <c r="AA322" s="662">
        <v>0.6428571428571429</v>
      </c>
      <c r="AB322" s="661">
        <f t="shared" si="267"/>
        <v>151.53061224489798</v>
      </c>
      <c r="AC322" s="662">
        <f t="shared" ref="AC322" si="274">+AD322/V322</f>
        <v>0.3571428571428571</v>
      </c>
      <c r="AD322" s="483">
        <f t="shared" si="269"/>
        <v>84.183673469387742</v>
      </c>
      <c r="AE322" s="607" t="s">
        <v>99</v>
      </c>
      <c r="AF322" s="490"/>
    </row>
    <row r="323" spans="1:33" s="491" customFormat="1" ht="15" customHeight="1" x14ac:dyDescent="0.25">
      <c r="B323" s="178" t="s">
        <v>335</v>
      </c>
      <c r="C323" s="478"/>
      <c r="D323" s="479" t="s">
        <v>337</v>
      </c>
      <c r="E323" s="480"/>
      <c r="F323" s="481">
        <v>10</v>
      </c>
      <c r="G323" s="480"/>
      <c r="H323" s="479" t="s">
        <v>336</v>
      </c>
      <c r="I323" s="482"/>
      <c r="J323" s="481">
        <v>2</v>
      </c>
      <c r="K323" s="541"/>
      <c r="L323" s="479" t="s">
        <v>334</v>
      </c>
      <c r="M323" s="542"/>
      <c r="N323" s="478"/>
      <c r="O323" s="543"/>
      <c r="P323" s="481">
        <f>250*3.5</f>
        <v>875</v>
      </c>
      <c r="Q323" s="483"/>
      <c r="R323" s="484">
        <f t="shared" ref="R323" si="275">P323/$V$6</f>
        <v>250</v>
      </c>
      <c r="S323" s="483"/>
      <c r="T323" s="485">
        <f t="shared" ref="T323" si="276">IF(N323=0,IF(J323=0,F323*P323,F323*J323*P323),F323*J323*N323*P323)</f>
        <v>17500</v>
      </c>
      <c r="U323" s="480"/>
      <c r="V323" s="485">
        <f t="shared" ref="V323" si="277">T323/$V$6</f>
        <v>5000</v>
      </c>
      <c r="W323" s="486"/>
      <c r="X323" s="487">
        <f t="shared" ref="X323" si="278">V323/$V$3</f>
        <v>1.860943595171819E-3</v>
      </c>
      <c r="Y323" s="488"/>
      <c r="Z323" s="489">
        <f t="shared" si="266"/>
        <v>2.6963357389914876E-3</v>
      </c>
      <c r="AA323" s="660">
        <v>1</v>
      </c>
      <c r="AB323" s="661">
        <f t="shared" si="267"/>
        <v>5000</v>
      </c>
      <c r="AC323" s="662">
        <f t="shared" ref="AC323:AC324" si="279">+AD323/V323</f>
        <v>0</v>
      </c>
      <c r="AD323" s="483">
        <f t="shared" si="269"/>
        <v>0</v>
      </c>
      <c r="AE323" s="480"/>
      <c r="AF323" s="490"/>
    </row>
    <row r="324" spans="1:33" s="491" customFormat="1" ht="15" customHeight="1" x14ac:dyDescent="0.25">
      <c r="B324" s="178" t="s">
        <v>297</v>
      </c>
      <c r="C324" s="478"/>
      <c r="D324" s="479" t="s">
        <v>98</v>
      </c>
      <c r="E324" s="480"/>
      <c r="F324" s="481">
        <v>4</v>
      </c>
      <c r="G324" s="480"/>
      <c r="H324" s="479" t="s">
        <v>54</v>
      </c>
      <c r="I324" s="482"/>
      <c r="J324" s="481">
        <v>23</v>
      </c>
      <c r="K324" s="541"/>
      <c r="L324" s="479" t="s">
        <v>51</v>
      </c>
      <c r="M324" s="542"/>
      <c r="N324" s="481">
        <v>1</v>
      </c>
      <c r="O324" s="543"/>
      <c r="P324" s="481">
        <v>3.3</v>
      </c>
      <c r="Q324" s="483"/>
      <c r="R324" s="484">
        <f t="shared" ref="R324" si="280">P324/$V$6</f>
        <v>0.94285714285714284</v>
      </c>
      <c r="S324" s="483"/>
      <c r="T324" s="485">
        <f t="shared" ref="T324" si="281">IF(N324=0,IF(J324=0,F324*P324,F324*J324*P324),F324*J324*N324*P324)</f>
        <v>303.59999999999997</v>
      </c>
      <c r="U324" s="480"/>
      <c r="V324" s="485">
        <f t="shared" ref="V324" si="282">T324/$V$6</f>
        <v>86.742857142857133</v>
      </c>
      <c r="W324" s="486"/>
      <c r="X324" s="487">
        <f t="shared" ref="X324" si="283">V324/$V$3</f>
        <v>3.2284712885380811E-5</v>
      </c>
      <c r="Y324" s="488"/>
      <c r="Z324" s="489">
        <f t="shared" si="266"/>
        <v>4.6777573163303741E-5</v>
      </c>
      <c r="AA324" s="660">
        <v>1</v>
      </c>
      <c r="AB324" s="661">
        <f t="shared" si="267"/>
        <v>86.742857142857133</v>
      </c>
      <c r="AC324" s="662">
        <f t="shared" si="279"/>
        <v>0</v>
      </c>
      <c r="AD324" s="483">
        <f t="shared" si="269"/>
        <v>0</v>
      </c>
      <c r="AE324" s="797" t="s">
        <v>55</v>
      </c>
      <c r="AF324" s="490"/>
    </row>
    <row r="325" spans="1:33" s="112" customFormat="1" ht="15" customHeight="1" thickBot="1" x14ac:dyDescent="0.3">
      <c r="A325" s="112" t="s">
        <v>339</v>
      </c>
      <c r="B325" s="468" t="s">
        <v>96</v>
      </c>
      <c r="C325" s="318"/>
      <c r="D325" s="324"/>
      <c r="E325" s="317"/>
      <c r="F325" s="322"/>
      <c r="G325" s="317"/>
      <c r="H325" s="324"/>
      <c r="I325" s="317"/>
      <c r="J325" s="162"/>
      <c r="K325" s="322"/>
      <c r="L325" s="323"/>
      <c r="M325" s="323"/>
      <c r="N325" s="166"/>
      <c r="O325" s="323"/>
      <c r="P325" s="322"/>
      <c r="Q325" s="322"/>
      <c r="R325" s="322"/>
      <c r="S325" s="322"/>
      <c r="T325" s="296">
        <f>SUM(T308:T324)</f>
        <v>22813.087342465751</v>
      </c>
      <c r="U325" s="318"/>
      <c r="V325" s="296">
        <f>SUM(V308:V324)</f>
        <v>6518.0249549902155</v>
      </c>
      <c r="W325" s="134"/>
      <c r="X325" s="359">
        <f>SUM(X308:X324)</f>
        <v>2.4259353586318253E-3</v>
      </c>
      <c r="Y325" s="469"/>
      <c r="Z325" s="286">
        <f t="shared" si="266"/>
        <v>3.5149567267557E-3</v>
      </c>
      <c r="AA325" s="94"/>
      <c r="AB325" s="296">
        <f>SUM(AB308:AB324)</f>
        <v>5950.4538842605534</v>
      </c>
      <c r="AC325" s="94"/>
      <c r="AD325" s="296">
        <f>SUM(AD308:AD324)</f>
        <v>567.57107072966164</v>
      </c>
      <c r="AE325" s="607"/>
      <c r="AF325" s="211"/>
    </row>
    <row r="326" spans="1:33" x14ac:dyDescent="0.25">
      <c r="B326" s="265"/>
      <c r="C326" s="265"/>
      <c r="D326" s="266"/>
      <c r="E326" s="267"/>
      <c r="F326" s="104"/>
      <c r="G326" s="267"/>
      <c r="H326" s="266"/>
      <c r="I326" s="267"/>
      <c r="J326" s="267"/>
      <c r="K326" s="267"/>
      <c r="L326" s="267"/>
      <c r="M326" s="267"/>
      <c r="N326" s="267"/>
      <c r="O326" s="267"/>
      <c r="P326" s="267"/>
      <c r="Q326" s="267"/>
      <c r="R326" s="267"/>
      <c r="S326" s="267"/>
      <c r="T326" s="267"/>
      <c r="U326" s="267"/>
      <c r="V326" s="267"/>
      <c r="W326" s="267"/>
      <c r="X326" s="350"/>
      <c r="Y326" s="268"/>
      <c r="Z326" s="268"/>
      <c r="AA326" s="267"/>
      <c r="AB326" s="650"/>
      <c r="AC326" s="267"/>
      <c r="AD326" s="267"/>
      <c r="AE326" s="720"/>
      <c r="AF326" s="79"/>
      <c r="AG326" s="87"/>
    </row>
    <row r="327" spans="1:33" ht="15" hidden="1" customHeight="1" x14ac:dyDescent="0.25">
      <c r="B327" s="97" t="s">
        <v>44</v>
      </c>
      <c r="C327" s="84"/>
      <c r="D327" s="78"/>
      <c r="E327" s="100"/>
      <c r="F327" s="245"/>
      <c r="G327" s="94"/>
      <c r="H327" s="155"/>
      <c r="I327" s="80"/>
      <c r="J327" s="91"/>
      <c r="K327" s="91"/>
      <c r="L327" s="80"/>
      <c r="M327" s="80"/>
      <c r="N327" s="80"/>
      <c r="O327" s="80"/>
      <c r="P327" s="80"/>
      <c r="Q327" s="180"/>
      <c r="R327" s="180"/>
      <c r="S327" s="80"/>
      <c r="T327" s="80"/>
      <c r="U327" s="80"/>
      <c r="V327" s="80"/>
      <c r="W327" s="80"/>
      <c r="X327" s="349"/>
      <c r="Y327" s="117"/>
      <c r="Z327" s="117"/>
      <c r="AA327" s="80"/>
      <c r="AB327" s="647"/>
      <c r="AC327" s="317"/>
      <c r="AD327" s="317"/>
      <c r="AE327" s="607"/>
      <c r="AF327" s="78"/>
      <c r="AG327" s="78"/>
    </row>
    <row r="328" spans="1:33" hidden="1" x14ac:dyDescent="0.25">
      <c r="B328" s="121"/>
      <c r="C328" s="96"/>
      <c r="D328" s="78"/>
      <c r="E328" s="100"/>
      <c r="F328" s="246"/>
      <c r="G328" s="94"/>
      <c r="H328" s="155"/>
      <c r="I328" s="80"/>
      <c r="J328" s="91"/>
      <c r="K328" s="91"/>
      <c r="L328" s="80"/>
      <c r="M328" s="80"/>
      <c r="N328" s="80"/>
      <c r="O328" s="80"/>
      <c r="P328" s="80"/>
      <c r="Q328" s="180"/>
      <c r="R328" s="180"/>
      <c r="S328" s="80"/>
      <c r="T328" s="80"/>
      <c r="U328" s="80"/>
      <c r="V328" s="80"/>
      <c r="W328" s="80"/>
      <c r="X328" s="349"/>
      <c r="Y328" s="117"/>
      <c r="Z328" s="117"/>
      <c r="AA328" s="80"/>
      <c r="AB328" s="647"/>
      <c r="AC328" s="317"/>
      <c r="AD328" s="317"/>
      <c r="AE328" s="607"/>
      <c r="AF328" s="78"/>
      <c r="AG328" s="78"/>
    </row>
    <row r="329" spans="1:33" ht="15" hidden="1" customHeight="1" x14ac:dyDescent="0.25">
      <c r="B329" s="124" t="s">
        <v>45</v>
      </c>
      <c r="C329" s="96"/>
      <c r="D329" s="78"/>
      <c r="E329" s="100"/>
      <c r="F329" s="246"/>
      <c r="G329" s="94"/>
      <c r="H329" s="155"/>
      <c r="I329" s="80"/>
      <c r="J329" s="91"/>
      <c r="K329" s="91"/>
      <c r="L329" s="80"/>
      <c r="M329" s="80"/>
      <c r="N329" s="80"/>
      <c r="O329" s="80"/>
      <c r="P329" s="80"/>
      <c r="Q329" s="180"/>
      <c r="R329" s="180"/>
      <c r="S329" s="80"/>
      <c r="T329" s="80"/>
      <c r="U329" s="80"/>
      <c r="V329" s="80"/>
      <c r="W329" s="80"/>
      <c r="X329" s="349"/>
      <c r="Y329" s="117"/>
      <c r="Z329" s="117"/>
      <c r="AA329" s="80"/>
      <c r="AB329" s="647"/>
      <c r="AC329" s="317"/>
      <c r="AD329" s="317"/>
      <c r="AE329" s="607"/>
      <c r="AF329" s="78"/>
      <c r="AG329" s="78"/>
    </row>
    <row r="330" spans="1:33" ht="15" hidden="1" customHeight="1" x14ac:dyDescent="0.25">
      <c r="B330" s="125" t="s">
        <v>93</v>
      </c>
      <c r="C330" s="96"/>
      <c r="D330" s="155"/>
      <c r="E330" s="100"/>
      <c r="F330" s="103"/>
      <c r="G330" s="94"/>
      <c r="H330" s="172"/>
      <c r="I330" s="80"/>
      <c r="J330" s="91"/>
      <c r="K330" s="91"/>
      <c r="L330" s="80"/>
      <c r="M330" s="80"/>
      <c r="N330" s="80"/>
      <c r="O330" s="80"/>
      <c r="P330" s="80"/>
      <c r="Q330" s="180"/>
      <c r="R330" s="180"/>
      <c r="S330" s="80"/>
      <c r="T330" s="80"/>
      <c r="U330" s="80"/>
      <c r="V330" s="80"/>
      <c r="W330" s="80"/>
      <c r="X330" s="349"/>
      <c r="Y330" s="117"/>
      <c r="Z330" s="117"/>
      <c r="AA330" s="80"/>
      <c r="AB330" s="647"/>
      <c r="AC330" s="317"/>
      <c r="AD330" s="317"/>
      <c r="AE330" s="607"/>
      <c r="AF330" s="78"/>
      <c r="AG330" s="78"/>
    </row>
    <row r="331" spans="1:33" hidden="1" x14ac:dyDescent="0.25">
      <c r="B331" s="125" t="s">
        <v>94</v>
      </c>
      <c r="C331" s="96"/>
      <c r="D331" s="155"/>
      <c r="E331" s="100"/>
      <c r="F331" s="103"/>
      <c r="G331" s="94"/>
      <c r="H331" s="169"/>
      <c r="I331" s="80"/>
      <c r="J331" s="91"/>
      <c r="K331" s="91"/>
      <c r="L331" s="80"/>
      <c r="M331" s="80"/>
      <c r="N331" s="80"/>
      <c r="O331" s="80"/>
      <c r="P331" s="80"/>
      <c r="Q331" s="180"/>
      <c r="R331" s="180"/>
      <c r="S331" s="80"/>
      <c r="T331" s="80"/>
      <c r="U331" s="80"/>
      <c r="V331" s="80"/>
      <c r="W331" s="80"/>
      <c r="X331" s="349"/>
      <c r="Y331" s="117"/>
      <c r="Z331" s="117"/>
      <c r="AA331" s="80"/>
      <c r="AB331" s="647"/>
      <c r="AC331" s="317"/>
      <c r="AD331" s="317"/>
      <c r="AE331" s="607"/>
      <c r="AF331" s="78"/>
      <c r="AG331" s="78"/>
    </row>
    <row r="332" spans="1:33" ht="15" hidden="1" customHeight="1" x14ac:dyDescent="0.25">
      <c r="B332" s="126" t="s">
        <v>46</v>
      </c>
      <c r="C332" s="96"/>
      <c r="D332" s="155"/>
      <c r="E332" s="100"/>
      <c r="F332" s="103"/>
      <c r="G332" s="94"/>
      <c r="H332" s="169"/>
      <c r="I332" s="80"/>
      <c r="J332" s="91"/>
      <c r="K332" s="91"/>
      <c r="L332" s="80"/>
      <c r="M332" s="80"/>
      <c r="N332" s="80"/>
      <c r="O332" s="80"/>
      <c r="P332" s="80"/>
      <c r="Q332" s="180"/>
      <c r="R332" s="180"/>
      <c r="S332" s="80"/>
      <c r="T332" s="80"/>
      <c r="U332" s="80"/>
      <c r="V332" s="80"/>
      <c r="W332" s="80"/>
      <c r="X332" s="349"/>
      <c r="Y332" s="117"/>
      <c r="Z332" s="117"/>
      <c r="AA332" s="80"/>
      <c r="AB332" s="647"/>
      <c r="AC332" s="317"/>
      <c r="AD332" s="317"/>
      <c r="AE332" s="607"/>
      <c r="AF332" s="78"/>
      <c r="AG332" s="78"/>
    </row>
    <row r="333" spans="1:33" hidden="1" x14ac:dyDescent="0.25">
      <c r="B333" s="125" t="s">
        <v>47</v>
      </c>
      <c r="C333" s="96"/>
      <c r="D333" s="155"/>
      <c r="E333" s="100"/>
      <c r="F333" s="103"/>
      <c r="G333" s="173"/>
      <c r="H333" s="169"/>
      <c r="I333" s="80"/>
      <c r="J333" s="91"/>
      <c r="K333" s="91"/>
      <c r="L333" s="80"/>
      <c r="M333" s="80"/>
      <c r="N333" s="80"/>
      <c r="O333" s="80"/>
      <c r="P333" s="80"/>
      <c r="Q333" s="180"/>
      <c r="R333" s="180"/>
      <c r="S333" s="80"/>
      <c r="T333" s="80"/>
      <c r="U333" s="80"/>
      <c r="V333" s="80"/>
      <c r="W333" s="80"/>
      <c r="X333" s="349"/>
      <c r="Y333" s="117"/>
      <c r="Z333" s="117"/>
      <c r="AA333" s="80"/>
      <c r="AB333" s="647"/>
      <c r="AC333" s="317"/>
      <c r="AD333" s="317"/>
      <c r="AE333" s="607"/>
    </row>
    <row r="334" spans="1:33" hidden="1" x14ac:dyDescent="0.25">
      <c r="B334" s="125" t="s">
        <v>74</v>
      </c>
      <c r="C334" s="96"/>
      <c r="D334" s="155"/>
      <c r="E334" s="100"/>
      <c r="F334" s="247"/>
      <c r="G334" s="173"/>
      <c r="H334" s="170"/>
      <c r="I334" s="80"/>
      <c r="J334" s="91"/>
      <c r="K334" s="91"/>
      <c r="L334" s="80"/>
      <c r="M334" s="80"/>
      <c r="N334" s="80"/>
      <c r="O334" s="80"/>
      <c r="P334" s="80"/>
      <c r="Q334" s="180"/>
      <c r="R334" s="180"/>
      <c r="S334" s="80"/>
      <c r="T334" s="80"/>
      <c r="U334" s="80"/>
      <c r="V334" s="80"/>
      <c r="W334" s="80"/>
      <c r="X334" s="349"/>
      <c r="Y334" s="117"/>
      <c r="Z334" s="117"/>
      <c r="AA334" s="80"/>
      <c r="AB334" s="647"/>
      <c r="AC334" s="317"/>
      <c r="AD334" s="317"/>
      <c r="AE334" s="607"/>
    </row>
    <row r="335" spans="1:33" hidden="1" x14ac:dyDescent="0.25">
      <c r="B335" s="125" t="s">
        <v>48</v>
      </c>
      <c r="C335" s="96"/>
      <c r="D335" s="155"/>
      <c r="E335" s="80"/>
      <c r="F335" s="174" t="s">
        <v>135</v>
      </c>
      <c r="G335" s="171"/>
      <c r="H335" s="170"/>
      <c r="I335" s="80"/>
      <c r="J335" s="91"/>
      <c r="K335" s="91"/>
      <c r="L335" s="80"/>
      <c r="M335" s="80"/>
      <c r="N335" s="80"/>
      <c r="O335" s="80"/>
      <c r="P335" s="80"/>
      <c r="Q335" s="180"/>
      <c r="R335" s="180"/>
      <c r="S335" s="80"/>
      <c r="T335" s="82"/>
      <c r="U335" s="179"/>
      <c r="V335" s="693"/>
      <c r="W335" s="80"/>
      <c r="X335" s="349"/>
      <c r="Y335" s="117"/>
      <c r="Z335" s="117"/>
      <c r="AA335" s="80"/>
      <c r="AB335" s="647"/>
      <c r="AC335" s="317"/>
      <c r="AD335" s="317"/>
      <c r="AE335" s="607"/>
    </row>
    <row r="336" spans="1:33" x14ac:dyDescent="0.25">
      <c r="B336" s="78"/>
      <c r="C336" s="96"/>
      <c r="D336" s="155"/>
      <c r="E336" s="80"/>
      <c r="F336" s="80"/>
      <c r="G336" s="80"/>
      <c r="H336" s="155"/>
      <c r="I336" s="80"/>
      <c r="J336" s="91"/>
      <c r="K336" s="91"/>
      <c r="L336" s="80"/>
      <c r="M336" s="80"/>
      <c r="N336" s="80"/>
      <c r="O336" s="80"/>
      <c r="P336" s="80"/>
      <c r="Q336" s="180"/>
      <c r="R336" s="180"/>
      <c r="S336" s="80"/>
      <c r="T336" s="80"/>
      <c r="U336" s="80"/>
      <c r="V336" s="80"/>
      <c r="W336" s="80"/>
      <c r="X336" s="349"/>
      <c r="Y336" s="117"/>
      <c r="Z336" s="117"/>
      <c r="AA336" s="80"/>
      <c r="AB336" s="647"/>
      <c r="AC336" s="317"/>
      <c r="AD336" s="317"/>
      <c r="AE336" s="607"/>
    </row>
    <row r="337" spans="2:32" x14ac:dyDescent="0.25">
      <c r="B337" s="254" t="s">
        <v>340</v>
      </c>
      <c r="C337" s="255"/>
      <c r="D337" s="256"/>
      <c r="E337" s="257"/>
      <c r="F337" s="257"/>
      <c r="G337" s="257"/>
      <c r="H337" s="256"/>
      <c r="I337" s="257"/>
      <c r="J337" s="258"/>
      <c r="K337" s="258"/>
      <c r="L337" s="257"/>
      <c r="M337" s="257"/>
      <c r="N337" s="257"/>
      <c r="O337" s="257"/>
      <c r="P337" s="257"/>
      <c r="Q337" s="257"/>
      <c r="R337" s="257"/>
      <c r="S337" s="257"/>
      <c r="T337" s="257"/>
      <c r="U337" s="257"/>
      <c r="V337" s="257"/>
      <c r="W337" s="257"/>
      <c r="X337" s="351"/>
      <c r="Y337" s="259"/>
      <c r="Z337" s="259"/>
      <c r="AA337" s="257"/>
      <c r="AB337" s="651"/>
      <c r="AC337" s="257"/>
      <c r="AD337" s="257"/>
      <c r="AE337" s="721"/>
    </row>
    <row r="338" spans="2:32" x14ac:dyDescent="0.25">
      <c r="B338" s="121" t="s">
        <v>155</v>
      </c>
      <c r="C338" s="96"/>
      <c r="D338" s="155" t="s">
        <v>135</v>
      </c>
      <c r="E338" s="80"/>
      <c r="F338" s="80"/>
      <c r="G338" s="80"/>
      <c r="H338" s="155"/>
      <c r="I338" s="80"/>
      <c r="J338" s="91"/>
      <c r="K338" s="91"/>
      <c r="L338" s="80"/>
      <c r="M338" s="80"/>
      <c r="N338" s="80"/>
      <c r="O338" s="80"/>
      <c r="P338" s="80"/>
      <c r="Q338" s="180"/>
      <c r="R338" s="180"/>
      <c r="S338" s="80"/>
      <c r="T338" s="80"/>
      <c r="U338" s="80"/>
      <c r="V338" s="80"/>
      <c r="W338" s="80"/>
      <c r="X338" s="349"/>
      <c r="Y338" s="117"/>
      <c r="Z338" s="117"/>
      <c r="AA338" s="80"/>
      <c r="AB338" s="647"/>
      <c r="AC338" s="317"/>
      <c r="AD338" s="317"/>
      <c r="AE338" s="607"/>
    </row>
    <row r="339" spans="2:32" s="179" customFormat="1" x14ac:dyDescent="0.25">
      <c r="B339" s="121" t="s">
        <v>156</v>
      </c>
      <c r="C339" s="96"/>
      <c r="D339" s="324"/>
      <c r="E339" s="317"/>
      <c r="F339" s="317"/>
      <c r="G339" s="317"/>
      <c r="H339" s="324"/>
      <c r="I339" s="317"/>
      <c r="J339" s="320"/>
      <c r="K339" s="320"/>
      <c r="L339" s="317"/>
      <c r="M339" s="317"/>
      <c r="N339" s="317"/>
      <c r="O339" s="317"/>
      <c r="P339" s="317"/>
      <c r="Q339" s="317"/>
      <c r="R339" s="317"/>
      <c r="S339" s="317"/>
      <c r="T339" s="317"/>
      <c r="U339" s="317"/>
      <c r="V339" s="317"/>
      <c r="W339" s="317"/>
      <c r="X339" s="349"/>
      <c r="Y339" s="117"/>
      <c r="Z339" s="117"/>
      <c r="AA339" s="317"/>
      <c r="AB339" s="647"/>
      <c r="AC339" s="317"/>
      <c r="AD339" s="317"/>
      <c r="AE339" s="607"/>
    </row>
    <row r="340" spans="2:32" s="112" customFormat="1" x14ac:dyDescent="0.25">
      <c r="B340" s="303" t="s">
        <v>341</v>
      </c>
      <c r="C340" s="96"/>
      <c r="D340" s="324"/>
      <c r="E340" s="317"/>
      <c r="F340" s="317"/>
      <c r="G340" s="317"/>
      <c r="H340" s="324"/>
      <c r="I340" s="317"/>
      <c r="J340" s="320"/>
      <c r="K340" s="320"/>
      <c r="L340" s="317"/>
      <c r="M340" s="317"/>
      <c r="N340" s="317"/>
      <c r="O340" s="317"/>
      <c r="P340" s="317"/>
      <c r="Q340" s="317"/>
      <c r="R340" s="317"/>
      <c r="S340" s="317"/>
      <c r="T340" s="317"/>
      <c r="U340" s="317"/>
      <c r="V340" s="317"/>
      <c r="W340" s="317"/>
      <c r="X340" s="349"/>
      <c r="Y340" s="117"/>
      <c r="Z340" s="117"/>
      <c r="AA340" s="317"/>
      <c r="AB340" s="647"/>
      <c r="AC340" s="317"/>
      <c r="AD340" s="317"/>
      <c r="AE340" s="607"/>
    </row>
    <row r="341" spans="2:32" s="112" customFormat="1" x14ac:dyDescent="0.25">
      <c r="B341" s="492" t="s">
        <v>160</v>
      </c>
      <c r="C341" s="96"/>
      <c r="D341" s="324"/>
      <c r="E341" s="100"/>
      <c r="F341" s="317"/>
      <c r="G341" s="94"/>
      <c r="H341" s="324"/>
      <c r="I341" s="100"/>
      <c r="J341" s="320"/>
      <c r="K341" s="129"/>
      <c r="L341" s="317"/>
      <c r="M341" s="317"/>
      <c r="N341" s="317"/>
      <c r="O341" s="317"/>
      <c r="P341" s="317"/>
      <c r="Q341" s="317"/>
      <c r="R341" s="317"/>
      <c r="S341" s="317"/>
      <c r="T341" s="317"/>
      <c r="U341" s="317"/>
      <c r="V341" s="317"/>
      <c r="W341" s="317"/>
      <c r="X341" s="349"/>
      <c r="Y341" s="477"/>
      <c r="Z341" s="136"/>
      <c r="AA341" s="94"/>
      <c r="AB341" s="648"/>
      <c r="AC341" s="94"/>
      <c r="AD341" s="94"/>
      <c r="AE341" s="607"/>
    </row>
    <row r="342" spans="2:32" s="112" customFormat="1" ht="15" customHeight="1" x14ac:dyDescent="0.25">
      <c r="B342" s="178" t="s">
        <v>412</v>
      </c>
      <c r="C342" s="318"/>
      <c r="D342" s="193" t="s">
        <v>50</v>
      </c>
      <c r="E342" s="100"/>
      <c r="F342" s="321">
        <v>1</v>
      </c>
      <c r="G342" s="94"/>
      <c r="H342" s="193" t="s">
        <v>51</v>
      </c>
      <c r="I342" s="100"/>
      <c r="J342" s="321">
        <v>6</v>
      </c>
      <c r="K342" s="164"/>
      <c r="L342" s="765"/>
      <c r="M342" s="317"/>
      <c r="N342" s="323"/>
      <c r="O342" s="323"/>
      <c r="P342" s="481">
        <f>+'Staff Detail'!B37</f>
        <v>383.56164383561645</v>
      </c>
      <c r="Q342" s="322"/>
      <c r="R342" s="327">
        <f t="shared" ref="R342:R344" si="284">P342/$V$6</f>
        <v>109.58904109589041</v>
      </c>
      <c r="S342" s="322"/>
      <c r="T342" s="319">
        <f t="shared" ref="T342:T344" si="285">IF(N342=0,IF(J342=0,F342*P342,F342*J342*P342),F342*J342*N342*P342)</f>
        <v>2301.3698630136987</v>
      </c>
      <c r="U342" s="317"/>
      <c r="V342" s="319">
        <f t="shared" ref="V342:V344" si="286">T342/$V$6</f>
        <v>657.53424657534254</v>
      </c>
      <c r="W342" s="320"/>
      <c r="X342" s="337">
        <f t="shared" ref="X342:X344" si="287">V342/$V$3</f>
        <v>2.4472682895410226E-4</v>
      </c>
      <c r="Y342" s="167"/>
      <c r="Z342" s="326">
        <f t="shared" ref="Z342:Z356" si="288">V342/$V$601</f>
        <v>3.5458661773038745E-4</v>
      </c>
      <c r="AA342" s="635">
        <v>0.1</v>
      </c>
      <c r="AB342" s="638">
        <f t="shared" ref="AB342:AB355" si="289">+W342+V342*AA342</f>
        <v>65.753424657534254</v>
      </c>
      <c r="AC342" s="636">
        <f t="shared" ref="AC342:AC345" si="290">+AD342/V342</f>
        <v>0.89999999999999991</v>
      </c>
      <c r="AD342" s="292">
        <f t="shared" ref="AD342:AD355" si="291">+V342-AB342</f>
        <v>591.78082191780823</v>
      </c>
      <c r="AE342" s="607" t="s">
        <v>99</v>
      </c>
      <c r="AF342" s="211"/>
    </row>
    <row r="343" spans="2:32" s="112" customFormat="1" ht="15" customHeight="1" x14ac:dyDescent="0.25">
      <c r="B343" s="178" t="s">
        <v>497</v>
      </c>
      <c r="C343" s="318"/>
      <c r="D343" s="193" t="s">
        <v>50</v>
      </c>
      <c r="E343" s="100"/>
      <c r="F343" s="321">
        <v>3</v>
      </c>
      <c r="G343" s="94"/>
      <c r="H343" s="193" t="s">
        <v>51</v>
      </c>
      <c r="I343" s="100"/>
      <c r="J343" s="321">
        <v>6</v>
      </c>
      <c r="K343" s="164"/>
      <c r="L343" s="765"/>
      <c r="M343" s="317"/>
      <c r="N343" s="323"/>
      <c r="O343" s="323"/>
      <c r="P343" s="481">
        <f>+'Staff Detail'!D16+'Staff Detail'!B21</f>
        <v>119.56</v>
      </c>
      <c r="Q343" s="322"/>
      <c r="R343" s="327">
        <f t="shared" si="284"/>
        <v>34.160000000000004</v>
      </c>
      <c r="S343" s="322"/>
      <c r="T343" s="319">
        <f t="shared" si="285"/>
        <v>2152.08</v>
      </c>
      <c r="U343" s="317"/>
      <c r="V343" s="319">
        <f t="shared" si="286"/>
        <v>614.88</v>
      </c>
      <c r="W343" s="320"/>
      <c r="X343" s="337">
        <f t="shared" si="287"/>
        <v>2.2885139955984961E-4</v>
      </c>
      <c r="Y343" s="167"/>
      <c r="Z343" s="326">
        <f t="shared" si="288"/>
        <v>3.3158458383821714E-4</v>
      </c>
      <c r="AA343" s="635">
        <v>0.1</v>
      </c>
      <c r="AB343" s="638">
        <f t="shared" si="289"/>
        <v>61.488</v>
      </c>
      <c r="AC343" s="636">
        <f t="shared" si="290"/>
        <v>0.90000000000000013</v>
      </c>
      <c r="AD343" s="292">
        <f t="shared" si="291"/>
        <v>553.39200000000005</v>
      </c>
      <c r="AE343" s="607" t="s">
        <v>99</v>
      </c>
      <c r="AF343" s="211"/>
    </row>
    <row r="344" spans="2:32" s="112" customFormat="1" ht="15" customHeight="1" x14ac:dyDescent="0.25">
      <c r="B344" s="178" t="s">
        <v>152</v>
      </c>
      <c r="C344" s="318"/>
      <c r="D344" s="193" t="s">
        <v>50</v>
      </c>
      <c r="E344" s="100"/>
      <c r="F344" s="321">
        <v>3</v>
      </c>
      <c r="G344" s="94"/>
      <c r="H344" s="193" t="s">
        <v>51</v>
      </c>
      <c r="I344" s="100"/>
      <c r="J344" s="321">
        <v>6</v>
      </c>
      <c r="K344" s="164"/>
      <c r="L344" s="765"/>
      <c r="M344" s="317"/>
      <c r="N344" s="323"/>
      <c r="O344" s="323"/>
      <c r="P344" s="481">
        <f>+'Staff Detail'!B20</f>
        <v>128.1</v>
      </c>
      <c r="Q344" s="322"/>
      <c r="R344" s="327">
        <f t="shared" si="284"/>
        <v>36.6</v>
      </c>
      <c r="S344" s="322"/>
      <c r="T344" s="319">
        <f t="shared" si="285"/>
        <v>2305.7999999999997</v>
      </c>
      <c r="U344" s="317"/>
      <c r="V344" s="319">
        <f t="shared" si="286"/>
        <v>658.8</v>
      </c>
      <c r="W344" s="320"/>
      <c r="X344" s="337">
        <f t="shared" si="287"/>
        <v>2.4519792809983885E-4</v>
      </c>
      <c r="Y344" s="167"/>
      <c r="Z344" s="326">
        <f t="shared" si="288"/>
        <v>3.5526919696951835E-4</v>
      </c>
      <c r="AA344" s="635">
        <v>0.1</v>
      </c>
      <c r="AB344" s="638">
        <f t="shared" si="289"/>
        <v>65.88</v>
      </c>
      <c r="AC344" s="636">
        <f t="shared" si="290"/>
        <v>0.9</v>
      </c>
      <c r="AD344" s="292">
        <f t="shared" si="291"/>
        <v>592.91999999999996</v>
      </c>
      <c r="AE344" s="607" t="s">
        <v>99</v>
      </c>
      <c r="AF344" s="211"/>
    </row>
    <row r="345" spans="2:32" s="112" customFormat="1" ht="15" customHeight="1" x14ac:dyDescent="0.25">
      <c r="B345" s="178" t="s">
        <v>338</v>
      </c>
      <c r="C345" s="318"/>
      <c r="D345" s="193" t="s">
        <v>50</v>
      </c>
      <c r="E345" s="100"/>
      <c r="F345" s="321">
        <v>1</v>
      </c>
      <c r="G345" s="94"/>
      <c r="H345" s="193" t="s">
        <v>51</v>
      </c>
      <c r="I345" s="100"/>
      <c r="J345" s="321">
        <v>6</v>
      </c>
      <c r="K345" s="164"/>
      <c r="L345" s="765"/>
      <c r="M345" s="317"/>
      <c r="N345" s="323"/>
      <c r="O345" s="323"/>
      <c r="P345" s="481">
        <f>+'Staff Detail'!B28</f>
        <v>249.04043835616437</v>
      </c>
      <c r="Q345" s="322"/>
      <c r="R345" s="327">
        <f t="shared" ref="R345:R353" si="292">P345/$V$6</f>
        <v>71.154410958904108</v>
      </c>
      <c r="S345" s="322"/>
      <c r="T345" s="319">
        <f t="shared" ref="T345:T353" si="293">IF(N345=0,IF(J345=0,F345*P345,F345*J345*P345),F345*J345*N345*P345)</f>
        <v>1494.2426301369862</v>
      </c>
      <c r="U345" s="317"/>
      <c r="V345" s="319">
        <f t="shared" ref="V345:V353" si="294">T345/$V$6</f>
        <v>426.92646575342462</v>
      </c>
      <c r="W345" s="320"/>
      <c r="X345" s="337">
        <f t="shared" ref="X345:X353" si="295">V345/$V$3</f>
        <v>1.5889721441063529E-4</v>
      </c>
      <c r="Y345" s="167"/>
      <c r="Z345" s="326">
        <f t="shared" si="288"/>
        <v>2.3022741750645682E-4</v>
      </c>
      <c r="AA345" s="635">
        <v>0.1</v>
      </c>
      <c r="AB345" s="638">
        <f t="shared" si="289"/>
        <v>42.692646575342465</v>
      </c>
      <c r="AC345" s="636">
        <f t="shared" si="290"/>
        <v>0.9</v>
      </c>
      <c r="AD345" s="292">
        <f t="shared" si="291"/>
        <v>384.23381917808217</v>
      </c>
      <c r="AE345" s="607" t="s">
        <v>99</v>
      </c>
      <c r="AF345" s="211"/>
    </row>
    <row r="346" spans="2:32" s="112" customFormat="1" ht="15" customHeight="1" x14ac:dyDescent="0.25">
      <c r="B346" s="178" t="s">
        <v>422</v>
      </c>
      <c r="C346" s="318"/>
      <c r="D346" s="193" t="s">
        <v>50</v>
      </c>
      <c r="E346" s="100"/>
      <c r="F346" s="321">
        <v>1</v>
      </c>
      <c r="G346" s="94"/>
      <c r="H346" s="193" t="s">
        <v>51</v>
      </c>
      <c r="I346" s="100"/>
      <c r="J346" s="321">
        <v>6</v>
      </c>
      <c r="K346" s="164"/>
      <c r="L346" s="765"/>
      <c r="M346" s="317"/>
      <c r="N346" s="323"/>
      <c r="O346" s="323"/>
      <c r="P346" s="481">
        <f>+'Staff Detail'!B26</f>
        <v>320.96027397260275</v>
      </c>
      <c r="Q346" s="322"/>
      <c r="R346" s="327">
        <f t="shared" si="292"/>
        <v>91.702935420743643</v>
      </c>
      <c r="S346" s="322"/>
      <c r="T346" s="319">
        <f t="shared" si="293"/>
        <v>1925.7616438356165</v>
      </c>
      <c r="U346" s="317"/>
      <c r="V346" s="319">
        <f t="shared" si="294"/>
        <v>550.21761252446186</v>
      </c>
      <c r="W346" s="320"/>
      <c r="X346" s="337">
        <f t="shared" si="295"/>
        <v>2.0478478839562538E-4</v>
      </c>
      <c r="Y346" s="167"/>
      <c r="Z346" s="326">
        <f t="shared" si="288"/>
        <v>2.9671428257445538E-4</v>
      </c>
      <c r="AA346" s="635">
        <v>0.1</v>
      </c>
      <c r="AB346" s="638">
        <f t="shared" si="289"/>
        <v>55.02176125244619</v>
      </c>
      <c r="AC346" s="636">
        <f t="shared" ref="AC346:AC352" si="296">+AD346/V346</f>
        <v>0.9</v>
      </c>
      <c r="AD346" s="292">
        <f t="shared" si="291"/>
        <v>495.19585127201566</v>
      </c>
      <c r="AE346" s="607" t="s">
        <v>99</v>
      </c>
      <c r="AF346" s="211"/>
    </row>
    <row r="347" spans="2:32" s="112" customFormat="1" ht="15" customHeight="1" x14ac:dyDescent="0.25">
      <c r="B347" s="178" t="s">
        <v>421</v>
      </c>
      <c r="C347" s="318"/>
      <c r="D347" s="193" t="s">
        <v>50</v>
      </c>
      <c r="E347" s="100"/>
      <c r="F347" s="321">
        <v>1</v>
      </c>
      <c r="G347" s="94"/>
      <c r="H347" s="193" t="s">
        <v>51</v>
      </c>
      <c r="I347" s="100"/>
      <c r="J347" s="321">
        <v>6</v>
      </c>
      <c r="K347" s="164"/>
      <c r="L347" s="765"/>
      <c r="M347" s="317"/>
      <c r="N347" s="323"/>
      <c r="O347" s="323"/>
      <c r="P347" s="481">
        <f>+'Staff Detail'!B27</f>
        <v>226.57906849315069</v>
      </c>
      <c r="Q347" s="322"/>
      <c r="R347" s="327">
        <f t="shared" si="292"/>
        <v>64.736876712328765</v>
      </c>
      <c r="S347" s="322"/>
      <c r="T347" s="319">
        <f t="shared" si="293"/>
        <v>1359.4744109589042</v>
      </c>
      <c r="U347" s="317"/>
      <c r="V347" s="319">
        <f t="shared" si="294"/>
        <v>388.42126027397262</v>
      </c>
      <c r="W347" s="320"/>
      <c r="X347" s="337">
        <f t="shared" si="295"/>
        <v>1.4456601130708309E-4</v>
      </c>
      <c r="Y347" s="167"/>
      <c r="Z347" s="326">
        <f t="shared" si="288"/>
        <v>2.0946282517216537E-4</v>
      </c>
      <c r="AA347" s="635">
        <v>0.1</v>
      </c>
      <c r="AB347" s="638">
        <f t="shared" si="289"/>
        <v>38.842126027397263</v>
      </c>
      <c r="AC347" s="636">
        <f t="shared" si="296"/>
        <v>0.89999999999999991</v>
      </c>
      <c r="AD347" s="292">
        <f t="shared" si="291"/>
        <v>349.57913424657534</v>
      </c>
      <c r="AE347" s="607" t="s">
        <v>99</v>
      </c>
      <c r="AF347" s="211"/>
    </row>
    <row r="348" spans="2:32" s="179" customFormat="1" ht="15" customHeight="1" x14ac:dyDescent="0.25">
      <c r="B348" s="178" t="s">
        <v>256</v>
      </c>
      <c r="C348" s="317"/>
      <c r="D348" s="193" t="s">
        <v>50</v>
      </c>
      <c r="E348" s="317"/>
      <c r="F348" s="321">
        <v>2</v>
      </c>
      <c r="G348" s="317"/>
      <c r="H348" s="193" t="s">
        <v>51</v>
      </c>
      <c r="I348" s="100"/>
      <c r="J348" s="321">
        <v>6</v>
      </c>
      <c r="K348" s="164"/>
      <c r="L348" s="193"/>
      <c r="M348" s="163"/>
      <c r="N348" s="669"/>
      <c r="O348" s="165"/>
      <c r="P348" s="321">
        <f>+'Staff Detail'!B38</f>
        <v>383.56164383561645</v>
      </c>
      <c r="Q348" s="322"/>
      <c r="R348" s="327">
        <f t="shared" si="292"/>
        <v>109.58904109589041</v>
      </c>
      <c r="S348" s="322"/>
      <c r="T348" s="319">
        <f t="shared" si="293"/>
        <v>4602.7397260273974</v>
      </c>
      <c r="U348" s="317"/>
      <c r="V348" s="319">
        <f t="shared" si="294"/>
        <v>1315.0684931506851</v>
      </c>
      <c r="W348" s="320"/>
      <c r="X348" s="337">
        <f t="shared" si="295"/>
        <v>4.8945365790820452E-4</v>
      </c>
      <c r="Y348" s="167"/>
      <c r="Z348" s="326">
        <f t="shared" si="288"/>
        <v>7.0917323546077491E-4</v>
      </c>
      <c r="AA348" s="635">
        <v>0.1</v>
      </c>
      <c r="AB348" s="638">
        <f t="shared" si="289"/>
        <v>131.50684931506851</v>
      </c>
      <c r="AC348" s="636">
        <f t="shared" si="296"/>
        <v>0.89999999999999991</v>
      </c>
      <c r="AD348" s="292">
        <f t="shared" si="291"/>
        <v>1183.5616438356165</v>
      </c>
      <c r="AE348" s="607" t="s">
        <v>99</v>
      </c>
    </row>
    <row r="349" spans="2:32" s="179" customFormat="1" ht="15" customHeight="1" x14ac:dyDescent="0.25">
      <c r="B349" s="178" t="s">
        <v>465</v>
      </c>
      <c r="C349" s="317"/>
      <c r="D349" s="193" t="s">
        <v>50</v>
      </c>
      <c r="E349" s="317"/>
      <c r="F349" s="321">
        <v>1</v>
      </c>
      <c r="G349" s="317"/>
      <c r="H349" s="193" t="s">
        <v>51</v>
      </c>
      <c r="I349" s="100"/>
      <c r="J349" s="471">
        <v>6</v>
      </c>
      <c r="K349" s="164"/>
      <c r="L349" s="193"/>
      <c r="M349" s="163"/>
      <c r="N349" s="836"/>
      <c r="O349" s="165"/>
      <c r="P349" s="321">
        <f>+'Staff Detail'!B43</f>
        <v>1582.1917808219177</v>
      </c>
      <c r="Q349" s="322"/>
      <c r="R349" s="327">
        <f t="shared" si="292"/>
        <v>452.05479452054794</v>
      </c>
      <c r="S349" s="322"/>
      <c r="T349" s="319">
        <f t="shared" si="293"/>
        <v>9493.1506849315065</v>
      </c>
      <c r="U349" s="317"/>
      <c r="V349" s="319">
        <f t="shared" si="294"/>
        <v>2712.3287671232874</v>
      </c>
      <c r="W349" s="320"/>
      <c r="X349" s="337">
        <f t="shared" si="295"/>
        <v>1.0094981694356716E-3</v>
      </c>
      <c r="Y349" s="167"/>
      <c r="Z349" s="326">
        <f t="shared" si="288"/>
        <v>1.4626697981378479E-3</v>
      </c>
      <c r="AA349" s="635">
        <v>0.1</v>
      </c>
      <c r="AB349" s="638">
        <f t="shared" si="289"/>
        <v>271.23287671232873</v>
      </c>
      <c r="AC349" s="636">
        <f t="shared" si="296"/>
        <v>0.9</v>
      </c>
      <c r="AD349" s="292">
        <f t="shared" si="291"/>
        <v>2441.0958904109589</v>
      </c>
      <c r="AE349" s="607" t="s">
        <v>99</v>
      </c>
    </row>
    <row r="350" spans="2:32" s="491" customFormat="1" ht="15" customHeight="1" x14ac:dyDescent="0.25">
      <c r="B350" s="178" t="s">
        <v>466</v>
      </c>
      <c r="C350" s="478"/>
      <c r="D350" s="479" t="s">
        <v>50</v>
      </c>
      <c r="E350" s="480"/>
      <c r="F350" s="481">
        <v>3</v>
      </c>
      <c r="G350" s="480"/>
      <c r="H350" s="479" t="s">
        <v>51</v>
      </c>
      <c r="I350" s="482"/>
      <c r="J350" s="838">
        <v>0.5</v>
      </c>
      <c r="K350" s="541"/>
      <c r="L350" s="765"/>
      <c r="M350" s="482"/>
      <c r="N350" s="478"/>
      <c r="O350" s="543"/>
      <c r="P350" s="481">
        <f>'Staff Detail'!B16</f>
        <v>89.67</v>
      </c>
      <c r="Q350" s="483"/>
      <c r="R350" s="327">
        <f t="shared" si="292"/>
        <v>25.62</v>
      </c>
      <c r="S350" s="322"/>
      <c r="T350" s="319">
        <f t="shared" si="293"/>
        <v>134.505</v>
      </c>
      <c r="U350" s="317"/>
      <c r="V350" s="319">
        <f t="shared" si="294"/>
        <v>38.43</v>
      </c>
      <c r="W350" s="320"/>
      <c r="X350" s="337">
        <f t="shared" si="295"/>
        <v>1.4303212472490601E-5</v>
      </c>
      <c r="Y350" s="167"/>
      <c r="Z350" s="326">
        <f t="shared" si="288"/>
        <v>2.0724036489888571E-5</v>
      </c>
      <c r="AA350" s="635">
        <v>0.1</v>
      </c>
      <c r="AB350" s="638">
        <f t="shared" si="289"/>
        <v>3.843</v>
      </c>
      <c r="AC350" s="636">
        <f t="shared" si="296"/>
        <v>0.90000000000000013</v>
      </c>
      <c r="AD350" s="292">
        <f t="shared" si="291"/>
        <v>34.587000000000003</v>
      </c>
      <c r="AE350" s="607" t="s">
        <v>99</v>
      </c>
      <c r="AF350" s="490"/>
    </row>
    <row r="351" spans="2:32" s="491" customFormat="1" ht="15" customHeight="1" x14ac:dyDescent="0.25">
      <c r="B351" s="178" t="s">
        <v>469</v>
      </c>
      <c r="C351" s="478"/>
      <c r="D351" s="479" t="s">
        <v>509</v>
      </c>
      <c r="E351" s="480"/>
      <c r="F351" s="481">
        <v>1</v>
      </c>
      <c r="G351" s="480"/>
      <c r="H351" s="479" t="s">
        <v>51</v>
      </c>
      <c r="I351" s="482"/>
      <c r="J351" s="481">
        <v>5</v>
      </c>
      <c r="K351" s="541"/>
      <c r="L351" s="765"/>
      <c r="M351" s="482"/>
      <c r="N351" s="478"/>
      <c r="O351" s="543"/>
      <c r="P351" s="481">
        <v>500</v>
      </c>
      <c r="Q351" s="483"/>
      <c r="R351" s="327">
        <f t="shared" si="292"/>
        <v>142.85714285714286</v>
      </c>
      <c r="S351" s="322"/>
      <c r="T351" s="319">
        <f t="shared" si="293"/>
        <v>2500</v>
      </c>
      <c r="U351" s="317"/>
      <c r="V351" s="319">
        <f t="shared" si="294"/>
        <v>714.28571428571433</v>
      </c>
      <c r="W351" s="320"/>
      <c r="X351" s="337">
        <f t="shared" si="295"/>
        <v>2.6584908502454559E-4</v>
      </c>
      <c r="Y351" s="167"/>
      <c r="Z351" s="326">
        <f t="shared" si="288"/>
        <v>3.8519081985592679E-4</v>
      </c>
      <c r="AA351" s="635">
        <v>0.1</v>
      </c>
      <c r="AB351" s="638">
        <f t="shared" si="289"/>
        <v>71.428571428571431</v>
      </c>
      <c r="AC351" s="636">
        <f t="shared" si="296"/>
        <v>0.9</v>
      </c>
      <c r="AD351" s="292">
        <f t="shared" si="291"/>
        <v>642.85714285714289</v>
      </c>
      <c r="AE351" s="607" t="s">
        <v>99</v>
      </c>
      <c r="AF351" s="490"/>
    </row>
    <row r="352" spans="2:32" s="491" customFormat="1" ht="15" customHeight="1" x14ac:dyDescent="0.25">
      <c r="B352" s="178" t="s">
        <v>467</v>
      </c>
      <c r="C352" s="478"/>
      <c r="D352" s="479" t="s">
        <v>50</v>
      </c>
      <c r="E352" s="480"/>
      <c r="F352" s="481">
        <f>+F343+F344+SUM(F345:F347)</f>
        <v>9</v>
      </c>
      <c r="G352" s="480"/>
      <c r="I352" s="482"/>
      <c r="J352" s="481"/>
      <c r="K352" s="541"/>
      <c r="L352" s="479" t="s">
        <v>468</v>
      </c>
      <c r="M352" s="482"/>
      <c r="N352" s="478"/>
      <c r="O352" s="543"/>
      <c r="P352" s="481">
        <v>750</v>
      </c>
      <c r="Q352" s="483"/>
      <c r="R352" s="327">
        <f t="shared" si="292"/>
        <v>214.28571428571428</v>
      </c>
      <c r="S352" s="322"/>
      <c r="T352" s="319">
        <f t="shared" si="293"/>
        <v>6750</v>
      </c>
      <c r="U352" s="317"/>
      <c r="V352" s="319">
        <f t="shared" si="294"/>
        <v>1928.5714285714287</v>
      </c>
      <c r="W352" s="320"/>
      <c r="X352" s="337">
        <f t="shared" si="295"/>
        <v>7.1779252956627308E-4</v>
      </c>
      <c r="Y352" s="167"/>
      <c r="Z352" s="326">
        <f t="shared" si="288"/>
        <v>1.0400152136110024E-3</v>
      </c>
      <c r="AA352" s="635">
        <v>0.1</v>
      </c>
      <c r="AB352" s="638">
        <f t="shared" si="289"/>
        <v>192.85714285714289</v>
      </c>
      <c r="AC352" s="636">
        <f t="shared" si="296"/>
        <v>0.9</v>
      </c>
      <c r="AD352" s="292">
        <f t="shared" si="291"/>
        <v>1735.7142857142858</v>
      </c>
      <c r="AE352" s="607" t="s">
        <v>99</v>
      </c>
      <c r="AF352" s="490"/>
    </row>
    <row r="353" spans="1:32" s="491" customFormat="1" ht="15" customHeight="1" x14ac:dyDescent="0.25">
      <c r="B353" s="178" t="s">
        <v>470</v>
      </c>
      <c r="C353" s="478"/>
      <c r="D353" s="479" t="s">
        <v>50</v>
      </c>
      <c r="E353" s="480"/>
      <c r="F353" s="481">
        <v>1</v>
      </c>
      <c r="G353" s="480"/>
      <c r="H353" s="479"/>
      <c r="I353" s="482"/>
      <c r="J353" s="481"/>
      <c r="K353" s="541"/>
      <c r="L353" s="479"/>
      <c r="M353" s="482"/>
      <c r="N353" s="478"/>
      <c r="O353" s="543"/>
      <c r="P353" s="481">
        <f>+P643</f>
        <v>2800</v>
      </c>
      <c r="Q353" s="483"/>
      <c r="R353" s="484">
        <f t="shared" si="292"/>
        <v>800</v>
      </c>
      <c r="S353" s="483"/>
      <c r="T353" s="485">
        <f t="shared" si="293"/>
        <v>2800</v>
      </c>
      <c r="U353" s="480"/>
      <c r="V353" s="485">
        <f t="shared" si="294"/>
        <v>800</v>
      </c>
      <c r="W353" s="486"/>
      <c r="X353" s="487">
        <f t="shared" si="295"/>
        <v>2.9775097522749105E-4</v>
      </c>
      <c r="Y353" s="488"/>
      <c r="Z353" s="489">
        <f t="shared" si="288"/>
        <v>4.3141371823863801E-4</v>
      </c>
      <c r="AA353" s="660">
        <v>0.1</v>
      </c>
      <c r="AB353" s="661">
        <f t="shared" si="289"/>
        <v>80</v>
      </c>
      <c r="AC353" s="662">
        <f t="shared" ref="AC353" si="297">+AD353/V353</f>
        <v>0.9</v>
      </c>
      <c r="AD353" s="483">
        <f t="shared" si="291"/>
        <v>720</v>
      </c>
      <c r="AE353" s="480" t="s">
        <v>99</v>
      </c>
      <c r="AF353" s="490"/>
    </row>
    <row r="354" spans="1:32" s="491" customFormat="1" ht="15" customHeight="1" x14ac:dyDescent="0.25">
      <c r="B354" s="178" t="s">
        <v>300</v>
      </c>
      <c r="C354" s="478"/>
      <c r="D354" s="479" t="s">
        <v>50</v>
      </c>
      <c r="E354" s="480"/>
      <c r="F354" s="481">
        <f>+SUM(F345:F349)</f>
        <v>6</v>
      </c>
      <c r="G354" s="480"/>
      <c r="H354" s="479" t="s">
        <v>51</v>
      </c>
      <c r="I354" s="482"/>
      <c r="J354" s="481">
        <v>6</v>
      </c>
      <c r="K354" s="541"/>
      <c r="L354" s="765"/>
      <c r="M354" s="482"/>
      <c r="N354" s="478"/>
      <c r="O354" s="543"/>
      <c r="P354" s="481">
        <f>+'Staff Detail'!B48</f>
        <v>850</v>
      </c>
      <c r="Q354" s="483"/>
      <c r="R354" s="484">
        <f t="shared" ref="R354" si="298">P354/$V$6</f>
        <v>242.85714285714286</v>
      </c>
      <c r="S354" s="483"/>
      <c r="T354" s="485">
        <f t="shared" ref="T354" si="299">IF(N354=0,IF(J354=0,F354*P354,F354*J354*P354),F354*J354*N354*P354)</f>
        <v>30600</v>
      </c>
      <c r="U354" s="480"/>
      <c r="V354" s="485">
        <f t="shared" ref="V354" si="300">T354/$V$6</f>
        <v>8742.8571428571431</v>
      </c>
      <c r="W354" s="486"/>
      <c r="X354" s="487">
        <f t="shared" ref="X354" si="301">V354/$V$3</f>
        <v>3.2539928007004381E-3</v>
      </c>
      <c r="Y354" s="488"/>
      <c r="Z354" s="489">
        <f t="shared" si="288"/>
        <v>4.7147356350365436E-3</v>
      </c>
      <c r="AA354" s="662">
        <v>0.1</v>
      </c>
      <c r="AB354" s="661">
        <f t="shared" si="289"/>
        <v>874.28571428571433</v>
      </c>
      <c r="AC354" s="662">
        <f t="shared" ref="AC354" si="302">+AD354/V354</f>
        <v>0.89999999999999991</v>
      </c>
      <c r="AD354" s="483">
        <f t="shared" si="291"/>
        <v>7868.5714285714284</v>
      </c>
      <c r="AE354" s="607" t="s">
        <v>99</v>
      </c>
      <c r="AF354" s="490"/>
    </row>
    <row r="355" spans="1:32" s="491" customFormat="1" ht="15" customHeight="1" x14ac:dyDescent="0.25">
      <c r="B355" s="178" t="s">
        <v>297</v>
      </c>
      <c r="C355" s="478"/>
      <c r="D355" s="479" t="s">
        <v>98</v>
      </c>
      <c r="E355" s="480"/>
      <c r="F355" s="481">
        <v>4</v>
      </c>
      <c r="G355" s="480"/>
      <c r="H355" s="479" t="s">
        <v>54</v>
      </c>
      <c r="I355" s="482"/>
      <c r="J355" s="481">
        <v>23</v>
      </c>
      <c r="K355" s="541"/>
      <c r="L355" s="479" t="s">
        <v>51</v>
      </c>
      <c r="M355" s="542"/>
      <c r="N355" s="481">
        <v>2</v>
      </c>
      <c r="O355" s="543"/>
      <c r="P355" s="481">
        <v>3.3</v>
      </c>
      <c r="Q355" s="483"/>
      <c r="R355" s="484">
        <f t="shared" ref="R355" si="303">P355/$V$6</f>
        <v>0.94285714285714284</v>
      </c>
      <c r="S355" s="483"/>
      <c r="T355" s="485">
        <f t="shared" ref="T355" si="304">IF(N355=0,IF(J355=0,F355*P355,F355*J355*P355),F355*J355*N355*P355)</f>
        <v>607.19999999999993</v>
      </c>
      <c r="U355" s="480"/>
      <c r="V355" s="485">
        <f t="shared" ref="V355" si="305">T355/$V$6</f>
        <v>173.48571428571427</v>
      </c>
      <c r="W355" s="486"/>
      <c r="X355" s="487">
        <f t="shared" ref="X355" si="306">V355/$V$3</f>
        <v>6.4569425770761622E-5</v>
      </c>
      <c r="Y355" s="488"/>
      <c r="Z355" s="489">
        <f t="shared" si="288"/>
        <v>9.3555146326607482E-5</v>
      </c>
      <c r="AA355" s="660">
        <v>0.1</v>
      </c>
      <c r="AB355" s="661">
        <f t="shared" si="289"/>
        <v>17.348571428571429</v>
      </c>
      <c r="AC355" s="662">
        <f t="shared" ref="AC355" si="307">+AD355/V355</f>
        <v>0.9</v>
      </c>
      <c r="AD355" s="483">
        <f t="shared" si="291"/>
        <v>156.13714285714283</v>
      </c>
      <c r="AE355" s="797" t="s">
        <v>55</v>
      </c>
      <c r="AF355" s="490"/>
    </row>
    <row r="356" spans="1:32" s="179" customFormat="1" ht="15.75" thickBot="1" x14ac:dyDescent="0.3">
      <c r="A356" s="179" t="s">
        <v>342</v>
      </c>
      <c r="B356" s="176" t="s">
        <v>161</v>
      </c>
      <c r="C356" s="317"/>
      <c r="D356" s="324"/>
      <c r="E356" s="317"/>
      <c r="F356" s="322"/>
      <c r="G356" s="317"/>
      <c r="H356" s="324"/>
      <c r="I356" s="317"/>
      <c r="J356" s="162"/>
      <c r="K356" s="322"/>
      <c r="L356" s="323"/>
      <c r="M356" s="323"/>
      <c r="N356" s="166"/>
      <c r="O356" s="323"/>
      <c r="P356" s="322"/>
      <c r="Q356" s="322"/>
      <c r="R356" s="322"/>
      <c r="S356" s="322"/>
      <c r="T356" s="133">
        <f>SUM(T342:T355)</f>
        <v>69026.323958904104</v>
      </c>
      <c r="U356" s="318"/>
      <c r="V356" s="133">
        <f>SUM(V342:V355)</f>
        <v>19721.806845401174</v>
      </c>
      <c r="W356" s="134"/>
      <c r="X356" s="672">
        <f>SUM(X342:X355)</f>
        <v>7.3402340268330108E-3</v>
      </c>
      <c r="Y356" s="240"/>
      <c r="Z356" s="242">
        <f t="shared" si="288"/>
        <v>1.063532252694843E-2</v>
      </c>
      <c r="AA356" s="94"/>
      <c r="AB356" s="133">
        <f>SUM(AB342:AB355)</f>
        <v>1972.1806845401172</v>
      </c>
      <c r="AC356" s="94"/>
      <c r="AD356" s="133">
        <f>SUM(AD342:AD355)</f>
        <v>17749.626160861058</v>
      </c>
      <c r="AE356" s="607"/>
    </row>
    <row r="357" spans="1:32" s="179" customFormat="1" x14ac:dyDescent="0.25">
      <c r="A357" s="795"/>
      <c r="B357" s="177"/>
      <c r="C357" s="317"/>
      <c r="D357" s="324"/>
      <c r="E357" s="317"/>
      <c r="F357" s="322"/>
      <c r="G357" s="317"/>
      <c r="H357" s="324"/>
      <c r="I357" s="100"/>
      <c r="J357" s="162"/>
      <c r="K357" s="164"/>
      <c r="L357" s="323"/>
      <c r="M357" s="323"/>
      <c r="N357" s="166"/>
      <c r="O357" s="323"/>
      <c r="P357" s="322"/>
      <c r="Q357" s="322"/>
      <c r="R357" s="322"/>
      <c r="S357" s="322"/>
      <c r="T357" s="302"/>
      <c r="U357" s="318"/>
      <c r="V357" s="106"/>
      <c r="W357" s="134"/>
      <c r="X357" s="344"/>
      <c r="Y357" s="240"/>
      <c r="Z357" s="326"/>
      <c r="AA357" s="94"/>
      <c r="AB357" s="648"/>
      <c r="AC357" s="94"/>
      <c r="AD357" s="94"/>
      <c r="AE357" s="607"/>
    </row>
    <row r="358" spans="1:32" s="179" customFormat="1" x14ac:dyDescent="0.25">
      <c r="B358" s="303" t="s">
        <v>255</v>
      </c>
      <c r="C358" s="317"/>
      <c r="D358" s="324"/>
      <c r="E358" s="317"/>
      <c r="F358" s="322"/>
      <c r="G358" s="317"/>
      <c r="H358" s="324"/>
      <c r="I358" s="100"/>
      <c r="J358" s="162"/>
      <c r="K358" s="164"/>
      <c r="L358" s="68"/>
      <c r="M358" s="323"/>
      <c r="N358" s="166"/>
      <c r="O358" s="323"/>
      <c r="P358" s="322"/>
      <c r="Q358" s="322"/>
      <c r="R358" s="322"/>
      <c r="S358" s="322"/>
      <c r="T358" s="302"/>
      <c r="U358" s="318"/>
      <c r="V358" s="106"/>
      <c r="W358" s="134"/>
      <c r="X358" s="344"/>
      <c r="Y358" s="240"/>
      <c r="Z358" s="326"/>
      <c r="AA358" s="94"/>
      <c r="AB358" s="648"/>
      <c r="AC358" s="94"/>
      <c r="AD358" s="94"/>
      <c r="AE358" s="607"/>
    </row>
    <row r="359" spans="1:32" s="179" customFormat="1" x14ac:dyDescent="0.25">
      <c r="B359" s="177" t="s">
        <v>537</v>
      </c>
      <c r="C359" s="317"/>
      <c r="D359" s="324"/>
      <c r="E359" s="317"/>
      <c r="F359" s="322"/>
      <c r="G359" s="317"/>
      <c r="H359" s="324"/>
      <c r="I359" s="100"/>
      <c r="J359" s="162"/>
      <c r="K359" s="164"/>
      <c r="L359" s="323"/>
      <c r="M359" s="323"/>
      <c r="N359" s="166"/>
      <c r="O359" s="323"/>
      <c r="P359" s="322"/>
      <c r="Q359" s="322"/>
      <c r="R359" s="322"/>
      <c r="S359" s="322"/>
      <c r="T359" s="302"/>
      <c r="U359" s="318"/>
      <c r="V359" s="106"/>
      <c r="W359" s="134"/>
      <c r="X359" s="344"/>
      <c r="Y359" s="240"/>
      <c r="Z359" s="326"/>
      <c r="AA359" s="94"/>
      <c r="AB359" s="648"/>
      <c r="AC359" s="94"/>
      <c r="AD359" s="94"/>
      <c r="AE359" s="607"/>
    </row>
    <row r="360" spans="1:32" s="179" customFormat="1" x14ac:dyDescent="0.25">
      <c r="B360" s="177" t="s">
        <v>162</v>
      </c>
      <c r="C360" s="317"/>
      <c r="D360" s="324"/>
      <c r="E360" s="317"/>
      <c r="F360" s="322"/>
      <c r="G360" s="317"/>
      <c r="H360" s="324"/>
      <c r="I360" s="100"/>
      <c r="J360" s="162"/>
      <c r="K360" s="164"/>
      <c r="L360" s="323"/>
      <c r="M360" s="323"/>
      <c r="N360" s="166"/>
      <c r="O360" s="323"/>
      <c r="P360" s="322"/>
      <c r="Q360" s="322"/>
      <c r="R360" s="322"/>
      <c r="S360" s="322"/>
      <c r="T360" s="302"/>
      <c r="U360" s="318"/>
      <c r="V360" s="106"/>
      <c r="W360" s="134"/>
      <c r="X360" s="344"/>
      <c r="Y360" s="240"/>
      <c r="Z360" s="326"/>
      <c r="AA360" s="94"/>
      <c r="AB360" s="648"/>
      <c r="AC360" s="94"/>
      <c r="AD360" s="94"/>
      <c r="AE360" s="607"/>
    </row>
    <row r="361" spans="1:32" s="179" customFormat="1" x14ac:dyDescent="0.25">
      <c r="B361" s="470" t="s">
        <v>257</v>
      </c>
      <c r="C361" s="317"/>
      <c r="D361" s="324"/>
      <c r="E361" s="317"/>
      <c r="F361" s="322"/>
      <c r="G361" s="317"/>
      <c r="H361" s="324"/>
      <c r="I361" s="100"/>
      <c r="J361" s="162"/>
      <c r="K361" s="164"/>
      <c r="L361" s="323"/>
      <c r="M361" s="323"/>
      <c r="N361" s="166"/>
      <c r="O361" s="323"/>
      <c r="P361" s="322"/>
      <c r="Q361" s="322"/>
      <c r="R361" s="322"/>
      <c r="S361" s="322"/>
      <c r="T361" s="302"/>
      <c r="U361" s="318"/>
      <c r="V361" s="106"/>
      <c r="W361" s="134"/>
      <c r="X361" s="344"/>
      <c r="Y361" s="240"/>
      <c r="Z361" s="326"/>
      <c r="AA361" s="94"/>
      <c r="AB361" s="648"/>
      <c r="AC361" s="94"/>
      <c r="AD361" s="94"/>
      <c r="AE361" s="607"/>
    </row>
    <row r="362" spans="1:32" s="179" customFormat="1" x14ac:dyDescent="0.25">
      <c r="B362" s="178" t="s">
        <v>256</v>
      </c>
      <c r="C362" s="317"/>
      <c r="D362" s="193" t="s">
        <v>50</v>
      </c>
      <c r="E362" s="100"/>
      <c r="F362" s="321">
        <v>2</v>
      </c>
      <c r="G362" s="317"/>
      <c r="H362" s="193" t="s">
        <v>51</v>
      </c>
      <c r="I362" s="100"/>
      <c r="J362" s="471">
        <v>12</v>
      </c>
      <c r="K362" s="164"/>
      <c r="L362" s="193"/>
      <c r="M362" s="317"/>
      <c r="N362" s="323"/>
      <c r="O362" s="323"/>
      <c r="P362" s="481">
        <f>+'Staff Detail'!D43+'Staff Detail'!B38</f>
        <v>383.56164383561645</v>
      </c>
      <c r="Q362" s="322"/>
      <c r="R362" s="327">
        <f t="shared" ref="R362" si="308">P362/$V$6</f>
        <v>109.58904109589041</v>
      </c>
      <c r="S362" s="322"/>
      <c r="T362" s="319">
        <f t="shared" ref="T362" si="309">IF(N362=0,IF(J362=0,F362*P362,F362*J362*P362),F362*J362*N362*P362)</f>
        <v>9205.4794520547948</v>
      </c>
      <c r="U362" s="317"/>
      <c r="V362" s="319">
        <f t="shared" ref="V362:V372" si="310">T362/$V$6</f>
        <v>2630.1369863013701</v>
      </c>
      <c r="W362" s="320"/>
      <c r="X362" s="337">
        <f t="shared" ref="X362" si="311">V362/$V$3</f>
        <v>9.7890731581640905E-4</v>
      </c>
      <c r="Y362" s="167"/>
      <c r="Z362" s="326">
        <f t="shared" ref="Z362:Z373" si="312">V362/$V$601</f>
        <v>1.4183464709215498E-3</v>
      </c>
      <c r="AA362" s="635">
        <v>0</v>
      </c>
      <c r="AB362" s="638">
        <f t="shared" ref="AB362:AB372" si="313">+W362+V362*AA362</f>
        <v>0</v>
      </c>
      <c r="AC362" s="636">
        <f t="shared" ref="AC362" si="314">+AD362/V362</f>
        <v>1</v>
      </c>
      <c r="AD362" s="292">
        <f t="shared" ref="AD362:AD372" si="315">+V362-AB362</f>
        <v>2630.1369863013701</v>
      </c>
      <c r="AE362" s="607" t="s">
        <v>99</v>
      </c>
    </row>
    <row r="363" spans="1:32" s="179" customFormat="1" x14ac:dyDescent="0.25">
      <c r="B363" s="837" t="s">
        <v>510</v>
      </c>
      <c r="C363" s="317"/>
      <c r="D363" s="193" t="s">
        <v>50</v>
      </c>
      <c r="E363" s="100"/>
      <c r="F363" s="321">
        <v>6</v>
      </c>
      <c r="G363" s="317"/>
      <c r="H363" s="193" t="s">
        <v>51</v>
      </c>
      <c r="I363" s="100"/>
      <c r="J363" s="471">
        <v>12</v>
      </c>
      <c r="K363" s="164"/>
      <c r="L363" s="323"/>
      <c r="M363" s="323"/>
      <c r="N363" s="166"/>
      <c r="O363" s="323"/>
      <c r="P363" s="481">
        <f>+SUM('Staff Detail'!B20:B21)/3</f>
        <v>82.553333333333327</v>
      </c>
      <c r="Q363" s="322"/>
      <c r="R363" s="327">
        <f t="shared" ref="R363:R368" si="316">P363/$V$6</f>
        <v>23.586666666666666</v>
      </c>
      <c r="S363" s="322"/>
      <c r="T363" s="319">
        <f t="shared" ref="T363:T368" si="317">IF(N363=0,IF(J363=0,F363*P363,F363*J363*P363),F363*J363*N363*P363)</f>
        <v>5943.8399999999992</v>
      </c>
      <c r="U363" s="317"/>
      <c r="V363" s="319">
        <f t="shared" ref="V363:V368" si="318">T363/$V$6</f>
        <v>1698.2399999999998</v>
      </c>
      <c r="W363" s="320"/>
      <c r="X363" s="337">
        <f t="shared" ref="X363:X368" si="319">V363/$V$3</f>
        <v>6.3206577021291787E-4</v>
      </c>
      <c r="Y363" s="167"/>
      <c r="Z363" s="326">
        <f t="shared" si="312"/>
        <v>9.1580504107698058E-4</v>
      </c>
      <c r="AA363" s="635">
        <v>0</v>
      </c>
      <c r="AB363" s="638">
        <f t="shared" si="313"/>
        <v>0</v>
      </c>
      <c r="AC363" s="636">
        <f t="shared" ref="AC363:AC368" si="320">+AD363/V363</f>
        <v>1</v>
      </c>
      <c r="AD363" s="292">
        <f t="shared" si="315"/>
        <v>1698.2399999999998</v>
      </c>
      <c r="AE363" s="607" t="s">
        <v>99</v>
      </c>
    </row>
    <row r="364" spans="1:32" s="179" customFormat="1" x14ac:dyDescent="0.25">
      <c r="B364" s="837" t="s">
        <v>422</v>
      </c>
      <c r="C364" s="317"/>
      <c r="D364" s="193" t="s">
        <v>50</v>
      </c>
      <c r="E364" s="100"/>
      <c r="F364" s="321">
        <v>1</v>
      </c>
      <c r="G364" s="317"/>
      <c r="H364" s="193" t="s">
        <v>51</v>
      </c>
      <c r="I364" s="100"/>
      <c r="J364" s="471">
        <v>12</v>
      </c>
      <c r="K364" s="164"/>
      <c r="L364" s="323"/>
      <c r="M364" s="323"/>
      <c r="N364" s="166"/>
      <c r="O364" s="323"/>
      <c r="P364" s="481">
        <f>+'Staff Detail'!B26</f>
        <v>320.96027397260275</v>
      </c>
      <c r="Q364" s="322"/>
      <c r="R364" s="327">
        <f t="shared" si="316"/>
        <v>91.702935420743643</v>
      </c>
      <c r="S364" s="322"/>
      <c r="T364" s="319">
        <f t="shared" si="317"/>
        <v>3851.523287671233</v>
      </c>
      <c r="U364" s="317"/>
      <c r="V364" s="319">
        <f t="shared" si="318"/>
        <v>1100.4352250489237</v>
      </c>
      <c r="W364" s="320"/>
      <c r="X364" s="337">
        <f t="shared" si="319"/>
        <v>4.0956957679125076E-4</v>
      </c>
      <c r="Y364" s="167"/>
      <c r="Z364" s="326">
        <f t="shared" si="312"/>
        <v>5.9342856514891075E-4</v>
      </c>
      <c r="AA364" s="635">
        <v>0</v>
      </c>
      <c r="AB364" s="638">
        <f t="shared" si="313"/>
        <v>0</v>
      </c>
      <c r="AC364" s="636">
        <f t="shared" si="320"/>
        <v>1</v>
      </c>
      <c r="AD364" s="292">
        <f t="shared" si="315"/>
        <v>1100.4352250489237</v>
      </c>
      <c r="AE364" s="607" t="s">
        <v>99</v>
      </c>
    </row>
    <row r="365" spans="1:32" s="179" customFormat="1" x14ac:dyDescent="0.25">
      <c r="B365" s="837" t="s">
        <v>452</v>
      </c>
      <c r="C365" s="317"/>
      <c r="D365" s="193" t="s">
        <v>50</v>
      </c>
      <c r="E365" s="100"/>
      <c r="F365" s="321">
        <v>1</v>
      </c>
      <c r="G365" s="317"/>
      <c r="H365" s="193" t="s">
        <v>51</v>
      </c>
      <c r="I365" s="100"/>
      <c r="J365" s="471">
        <v>12</v>
      </c>
      <c r="K365" s="164"/>
      <c r="L365" s="323"/>
      <c r="M365" s="323"/>
      <c r="N365" s="166"/>
      <c r="O365" s="323"/>
      <c r="P365" s="481">
        <f>+'Staff Detail'!B28</f>
        <v>249.04043835616437</v>
      </c>
      <c r="Q365" s="322"/>
      <c r="R365" s="327">
        <f t="shared" si="316"/>
        <v>71.154410958904108</v>
      </c>
      <c r="S365" s="322"/>
      <c r="T365" s="319">
        <f t="shared" si="317"/>
        <v>2988.4852602739725</v>
      </c>
      <c r="U365" s="317"/>
      <c r="V365" s="319">
        <f t="shared" si="318"/>
        <v>853.85293150684925</v>
      </c>
      <c r="W365" s="320"/>
      <c r="X365" s="337">
        <f t="shared" si="319"/>
        <v>3.1779442882127058E-4</v>
      </c>
      <c r="Y365" s="167"/>
      <c r="Z365" s="326">
        <f t="shared" si="312"/>
        <v>4.6045483501291364E-4</v>
      </c>
      <c r="AA365" s="635">
        <v>0</v>
      </c>
      <c r="AB365" s="638">
        <f t="shared" si="313"/>
        <v>0</v>
      </c>
      <c r="AC365" s="636">
        <f t="shared" si="320"/>
        <v>1</v>
      </c>
      <c r="AD365" s="292">
        <f t="shared" si="315"/>
        <v>853.85293150684925</v>
      </c>
      <c r="AE365" s="607" t="s">
        <v>99</v>
      </c>
    </row>
    <row r="366" spans="1:32" s="179" customFormat="1" x14ac:dyDescent="0.25">
      <c r="B366" s="837" t="s">
        <v>421</v>
      </c>
      <c r="C366" s="317"/>
      <c r="D366" s="193" t="s">
        <v>50</v>
      </c>
      <c r="E366" s="100"/>
      <c r="F366" s="321">
        <v>1</v>
      </c>
      <c r="G366" s="317"/>
      <c r="H366" s="193" t="s">
        <v>51</v>
      </c>
      <c r="I366" s="100"/>
      <c r="J366" s="471">
        <v>12</v>
      </c>
      <c r="K366" s="164"/>
      <c r="L366" s="323"/>
      <c r="M366" s="323"/>
      <c r="N366" s="166"/>
      <c r="O366" s="323"/>
      <c r="P366" s="481">
        <f>+'Staff Detail'!B27</f>
        <v>226.57906849315069</v>
      </c>
      <c r="Q366" s="322"/>
      <c r="R366" s="327">
        <f t="shared" si="316"/>
        <v>64.736876712328765</v>
      </c>
      <c r="S366" s="322"/>
      <c r="T366" s="319">
        <f t="shared" si="317"/>
        <v>2718.9488219178083</v>
      </c>
      <c r="U366" s="317"/>
      <c r="V366" s="319">
        <f t="shared" si="318"/>
        <v>776.84252054794524</v>
      </c>
      <c r="W366" s="320"/>
      <c r="X366" s="337">
        <f t="shared" si="319"/>
        <v>2.8913202261416618E-4</v>
      </c>
      <c r="Y366" s="167"/>
      <c r="Z366" s="326">
        <f t="shared" si="312"/>
        <v>4.1892565034433075E-4</v>
      </c>
      <c r="AA366" s="635">
        <v>0</v>
      </c>
      <c r="AB366" s="638">
        <f t="shared" si="313"/>
        <v>0</v>
      </c>
      <c r="AC366" s="636">
        <f t="shared" si="320"/>
        <v>1</v>
      </c>
      <c r="AD366" s="292">
        <f t="shared" si="315"/>
        <v>776.84252054794524</v>
      </c>
      <c r="AE366" s="607" t="s">
        <v>99</v>
      </c>
    </row>
    <row r="367" spans="1:32" s="179" customFormat="1" x14ac:dyDescent="0.25">
      <c r="B367" s="178" t="s">
        <v>459</v>
      </c>
      <c r="C367" s="317"/>
      <c r="D367" s="193" t="s">
        <v>50</v>
      </c>
      <c r="E367" s="317"/>
      <c r="F367" s="457">
        <v>208</v>
      </c>
      <c r="G367" s="317"/>
      <c r="H367" s="193" t="s">
        <v>51</v>
      </c>
      <c r="I367" s="100"/>
      <c r="J367" s="471">
        <v>4</v>
      </c>
      <c r="K367" s="164"/>
      <c r="L367" s="193"/>
      <c r="M367" s="317"/>
      <c r="N367" s="323"/>
      <c r="O367" s="323"/>
      <c r="P367" s="481">
        <v>50</v>
      </c>
      <c r="Q367" s="322"/>
      <c r="R367" s="327">
        <f t="shared" si="316"/>
        <v>14.285714285714286</v>
      </c>
      <c r="S367" s="322"/>
      <c r="T367" s="319">
        <f t="shared" si="317"/>
        <v>41600</v>
      </c>
      <c r="U367" s="317"/>
      <c r="V367" s="319">
        <f t="shared" si="318"/>
        <v>11885.714285714286</v>
      </c>
      <c r="W367" s="320"/>
      <c r="X367" s="337">
        <f t="shared" si="319"/>
        <v>4.4237287748084388E-3</v>
      </c>
      <c r="Y367" s="167"/>
      <c r="Z367" s="326">
        <f t="shared" si="312"/>
        <v>6.4095752424026221E-3</v>
      </c>
      <c r="AA367" s="635">
        <v>0</v>
      </c>
      <c r="AB367" s="638">
        <f t="shared" si="313"/>
        <v>0</v>
      </c>
      <c r="AC367" s="636">
        <f t="shared" si="320"/>
        <v>1</v>
      </c>
      <c r="AD367" s="292">
        <f t="shared" si="315"/>
        <v>11885.714285714286</v>
      </c>
      <c r="AE367" s="607" t="s">
        <v>99</v>
      </c>
    </row>
    <row r="368" spans="1:32" s="179" customFormat="1" x14ac:dyDescent="0.25">
      <c r="B368" s="178" t="s">
        <v>472</v>
      </c>
      <c r="C368" s="317"/>
      <c r="D368" s="193" t="s">
        <v>50</v>
      </c>
      <c r="E368" s="317"/>
      <c r="F368" s="457">
        <f>+SUM(F362:F366)</f>
        <v>11</v>
      </c>
      <c r="G368" s="317"/>
      <c r="H368" s="193" t="s">
        <v>51</v>
      </c>
      <c r="I368" s="100"/>
      <c r="J368" s="471">
        <v>9</v>
      </c>
      <c r="K368" s="164"/>
      <c r="L368" s="193"/>
      <c r="M368" s="317"/>
      <c r="N368" s="166"/>
      <c r="O368" s="323"/>
      <c r="P368" s="481">
        <f>'Staff Detail'!B49</f>
        <v>500</v>
      </c>
      <c r="Q368" s="322"/>
      <c r="R368" s="327">
        <f t="shared" si="316"/>
        <v>142.85714285714286</v>
      </c>
      <c r="S368" s="322"/>
      <c r="T368" s="319">
        <f t="shared" si="317"/>
        <v>49500</v>
      </c>
      <c r="U368" s="317"/>
      <c r="V368" s="319">
        <f t="shared" si="318"/>
        <v>14142.857142857143</v>
      </c>
      <c r="W368" s="320"/>
      <c r="X368" s="337">
        <f t="shared" si="319"/>
        <v>5.2638118834860024E-3</v>
      </c>
      <c r="Y368" s="167"/>
      <c r="Z368" s="326">
        <f t="shared" si="312"/>
        <v>7.6267782331473502E-3</v>
      </c>
      <c r="AA368" s="635">
        <v>0</v>
      </c>
      <c r="AB368" s="638">
        <f t="shared" si="313"/>
        <v>0</v>
      </c>
      <c r="AC368" s="636">
        <f t="shared" si="320"/>
        <v>1</v>
      </c>
      <c r="AD368" s="292">
        <f t="shared" si="315"/>
        <v>14142.857142857143</v>
      </c>
      <c r="AE368" s="607" t="s">
        <v>99</v>
      </c>
    </row>
    <row r="369" spans="1:32" s="179" customFormat="1" x14ac:dyDescent="0.25">
      <c r="B369" s="178" t="s">
        <v>471</v>
      </c>
      <c r="C369" s="317"/>
      <c r="D369" s="324"/>
      <c r="E369" s="317"/>
      <c r="F369" s="321">
        <f>+SUM(F362:F367)</f>
        <v>219</v>
      </c>
      <c r="G369" s="317"/>
      <c r="H369" s="193" t="s">
        <v>51</v>
      </c>
      <c r="I369" s="100"/>
      <c r="J369" s="471">
        <v>4</v>
      </c>
      <c r="K369" s="164"/>
      <c r="L369" s="323"/>
      <c r="M369" s="323"/>
      <c r="N369" s="166"/>
      <c r="O369" s="323"/>
      <c r="P369" s="321">
        <v>30</v>
      </c>
      <c r="Q369" s="322"/>
      <c r="R369" s="327">
        <f>P369/$V$6</f>
        <v>8.5714285714285712</v>
      </c>
      <c r="S369" s="322"/>
      <c r="T369" s="319">
        <f>IF(N369=0,IF(J369=0,F369*P369,F369*J369*P369),F369*J369*N369*P369)</f>
        <v>26280</v>
      </c>
      <c r="U369" s="318"/>
      <c r="V369" s="319">
        <f t="shared" si="310"/>
        <v>7508.5714285714284</v>
      </c>
      <c r="W369" s="134"/>
      <c r="X369" s="337">
        <f>V369/$V$3</f>
        <v>2.7946055817780232E-3</v>
      </c>
      <c r="Y369" s="240"/>
      <c r="Z369" s="326">
        <f t="shared" si="312"/>
        <v>4.0491258983255023E-3</v>
      </c>
      <c r="AA369" s="635">
        <v>0</v>
      </c>
      <c r="AB369" s="638">
        <f t="shared" si="313"/>
        <v>0</v>
      </c>
      <c r="AC369" s="636">
        <f>+AD369/V369</f>
        <v>1</v>
      </c>
      <c r="AD369" s="292">
        <f t="shared" si="315"/>
        <v>7508.5714285714284</v>
      </c>
      <c r="AE369" s="607" t="s">
        <v>102</v>
      </c>
    </row>
    <row r="370" spans="1:32" s="179" customFormat="1" x14ac:dyDescent="0.25">
      <c r="B370" s="178" t="s">
        <v>301</v>
      </c>
      <c r="C370" s="317"/>
      <c r="D370" s="324"/>
      <c r="E370" s="317"/>
      <c r="F370" s="321">
        <v>43</v>
      </c>
      <c r="G370" s="317"/>
      <c r="H370" s="193" t="s">
        <v>51</v>
      </c>
      <c r="I370" s="100"/>
      <c r="J370" s="471">
        <v>4</v>
      </c>
      <c r="K370" s="164"/>
      <c r="L370" s="323"/>
      <c r="M370" s="323"/>
      <c r="N370" s="166"/>
      <c r="O370" s="323"/>
      <c r="P370" s="321">
        <v>100</v>
      </c>
      <c r="Q370" s="322"/>
      <c r="R370" s="327">
        <f>P370/$V$6</f>
        <v>28.571428571428573</v>
      </c>
      <c r="S370" s="322"/>
      <c r="T370" s="319">
        <f>IF(N370=0,IF(J370=0,F370*P370,F370*J370*P370),F370*J370*N370*P370)</f>
        <v>17200</v>
      </c>
      <c r="U370" s="318"/>
      <c r="V370" s="319">
        <f t="shared" si="310"/>
        <v>4914.2857142857147</v>
      </c>
      <c r="W370" s="134"/>
      <c r="X370" s="337">
        <f>V370/$V$3</f>
        <v>1.8290417049688736E-3</v>
      </c>
      <c r="Y370" s="240"/>
      <c r="Z370" s="326">
        <f t="shared" si="312"/>
        <v>2.6501128406087766E-3</v>
      </c>
      <c r="AA370" s="635">
        <v>0</v>
      </c>
      <c r="AB370" s="638">
        <f t="shared" si="313"/>
        <v>0</v>
      </c>
      <c r="AC370" s="636">
        <f>+AD370/V370</f>
        <v>1</v>
      </c>
      <c r="AD370" s="292">
        <f t="shared" si="315"/>
        <v>4914.2857142857147</v>
      </c>
      <c r="AE370" s="607" t="s">
        <v>99</v>
      </c>
    </row>
    <row r="371" spans="1:32" s="179" customFormat="1" x14ac:dyDescent="0.25">
      <c r="B371" s="178" t="s">
        <v>17</v>
      </c>
      <c r="C371" s="317"/>
      <c r="D371" s="324"/>
      <c r="E371" s="317"/>
      <c r="F371" s="321">
        <v>4</v>
      </c>
      <c r="G371" s="317"/>
      <c r="H371" s="479" t="s">
        <v>54</v>
      </c>
      <c r="I371" s="100"/>
      <c r="J371" s="471">
        <v>43</v>
      </c>
      <c r="K371" s="164"/>
      <c r="L371" s="193" t="s">
        <v>51</v>
      </c>
      <c r="M371" s="163"/>
      <c r="N371" s="321">
        <v>9</v>
      </c>
      <c r="O371" s="165"/>
      <c r="P371" s="321">
        <v>3.3</v>
      </c>
      <c r="Q371" s="322"/>
      <c r="R371" s="327">
        <f>P371/$V$6</f>
        <v>0.94285714285714284</v>
      </c>
      <c r="S371" s="322"/>
      <c r="T371" s="319">
        <f>IF(N371=0,IF(J371=0,F371*P371,F371*J371*P371),F371*J371*N371*P371)</f>
        <v>5108.3999999999996</v>
      </c>
      <c r="U371" s="318"/>
      <c r="V371" s="319">
        <f t="shared" si="310"/>
        <v>1459.542857142857</v>
      </c>
      <c r="W371" s="134"/>
      <c r="X371" s="337">
        <f>V371/$V$3</f>
        <v>5.4322538637575544E-4</v>
      </c>
      <c r="Y371" s="240"/>
      <c r="Z371" s="326">
        <f t="shared" si="312"/>
        <v>7.8708351366080643E-4</v>
      </c>
      <c r="AA371" s="635">
        <v>0</v>
      </c>
      <c r="AB371" s="638">
        <f t="shared" si="313"/>
        <v>0</v>
      </c>
      <c r="AC371" s="636">
        <f>+AD371/V371</f>
        <v>1</v>
      </c>
      <c r="AD371" s="292">
        <f t="shared" si="315"/>
        <v>1459.542857142857</v>
      </c>
      <c r="AE371" s="607"/>
    </row>
    <row r="372" spans="1:32" s="112" customFormat="1" ht="15" customHeight="1" x14ac:dyDescent="0.25">
      <c r="B372" s="178" t="s">
        <v>299</v>
      </c>
      <c r="C372" s="318"/>
      <c r="D372" s="193" t="s">
        <v>50</v>
      </c>
      <c r="E372" s="317"/>
      <c r="F372" s="321">
        <v>5</v>
      </c>
      <c r="G372" s="317"/>
      <c r="H372" s="193" t="s">
        <v>261</v>
      </c>
      <c r="I372" s="100"/>
      <c r="J372" s="321">
        <v>1</v>
      </c>
      <c r="K372" s="322"/>
      <c r="L372" s="193" t="s">
        <v>263</v>
      </c>
      <c r="M372" s="323"/>
      <c r="N372" s="669"/>
      <c r="O372" s="323"/>
      <c r="P372" s="321">
        <v>750</v>
      </c>
      <c r="Q372" s="322"/>
      <c r="R372" s="327">
        <f>P372/$V$6</f>
        <v>214.28571428571428</v>
      </c>
      <c r="S372" s="322"/>
      <c r="T372" s="319">
        <f>IF(N372=0,IF(J372=0,F372*P372,F372*J372*P372),F372*J372*N372*P372)</f>
        <v>3750</v>
      </c>
      <c r="U372" s="317"/>
      <c r="V372" s="319">
        <f t="shared" si="310"/>
        <v>1071.4285714285713</v>
      </c>
      <c r="W372" s="320"/>
      <c r="X372" s="337">
        <f t="shared" ref="X372" si="321">V372/$V$3</f>
        <v>3.9877362753681835E-4</v>
      </c>
      <c r="Y372" s="167"/>
      <c r="Z372" s="326">
        <f t="shared" si="312"/>
        <v>5.777862297838901E-4</v>
      </c>
      <c r="AA372" s="635">
        <v>0</v>
      </c>
      <c r="AB372" s="638">
        <f t="shared" si="313"/>
        <v>0</v>
      </c>
      <c r="AC372" s="636">
        <f>+AD372/V372</f>
        <v>1</v>
      </c>
      <c r="AD372" s="292">
        <f t="shared" si="315"/>
        <v>1071.4285714285713</v>
      </c>
      <c r="AE372" s="607"/>
      <c r="AF372" s="211"/>
    </row>
    <row r="373" spans="1:32" s="179" customFormat="1" ht="15.75" thickBot="1" x14ac:dyDescent="0.3">
      <c r="A373" s="179" t="s">
        <v>343</v>
      </c>
      <c r="B373" s="176" t="s">
        <v>302</v>
      </c>
      <c r="C373" s="317"/>
      <c r="D373" s="324"/>
      <c r="E373" s="317"/>
      <c r="F373" s="322"/>
      <c r="G373" s="317"/>
      <c r="H373" s="324"/>
      <c r="I373" s="317"/>
      <c r="J373" s="162"/>
      <c r="K373" s="322"/>
      <c r="L373" s="323"/>
      <c r="M373" s="323"/>
      <c r="N373" s="166"/>
      <c r="O373" s="323"/>
      <c r="P373" s="322"/>
      <c r="Q373" s="322"/>
      <c r="R373" s="322"/>
      <c r="S373" s="322"/>
      <c r="T373" s="133">
        <f>SUM(T362:T372)</f>
        <v>168146.67682191779</v>
      </c>
      <c r="U373" s="318"/>
      <c r="V373" s="133">
        <f>SUM(V362:V372)</f>
        <v>48041.907663405094</v>
      </c>
      <c r="W373" s="134"/>
      <c r="X373" s="672">
        <f>SUM(X362:X372)</f>
        <v>1.7880656073209929E-2</v>
      </c>
      <c r="Y373" s="240"/>
      <c r="Z373" s="242">
        <f t="shared" si="312"/>
        <v>2.5907422520433637E-2</v>
      </c>
      <c r="AA373" s="94"/>
      <c r="AB373" s="133">
        <f>SUM(AB362:AB372)</f>
        <v>0</v>
      </c>
      <c r="AC373" s="94"/>
      <c r="AD373" s="133">
        <f>SUM(AD362:AD372)</f>
        <v>48041.907663405094</v>
      </c>
      <c r="AE373" s="607"/>
    </row>
    <row r="374" spans="1:32" s="179" customFormat="1" x14ac:dyDescent="0.25">
      <c r="B374" s="177"/>
      <c r="C374" s="317"/>
      <c r="D374" s="324"/>
      <c r="E374" s="317"/>
      <c r="F374" s="322"/>
      <c r="G374" s="317"/>
      <c r="H374" s="324"/>
      <c r="I374" s="100"/>
      <c r="J374" s="162"/>
      <c r="K374" s="164"/>
      <c r="L374" s="323"/>
      <c r="M374" s="323"/>
      <c r="N374" s="166"/>
      <c r="O374" s="323"/>
      <c r="P374" s="322"/>
      <c r="Q374" s="322"/>
      <c r="R374" s="322"/>
      <c r="S374" s="322"/>
      <c r="T374" s="302"/>
      <c r="U374" s="318"/>
      <c r="V374" s="302"/>
      <c r="W374" s="134"/>
      <c r="X374" s="710"/>
      <c r="Y374" s="240"/>
      <c r="Z374" s="326"/>
      <c r="AA374" s="94"/>
      <c r="AB374" s="671"/>
      <c r="AC374" s="94"/>
      <c r="AD374" s="671"/>
      <c r="AE374" s="607"/>
    </row>
    <row r="375" spans="1:32" s="179" customFormat="1" x14ac:dyDescent="0.25">
      <c r="B375" s="470" t="s">
        <v>304</v>
      </c>
      <c r="C375" s="317"/>
      <c r="D375" s="324"/>
      <c r="E375" s="317"/>
      <c r="F375" s="322"/>
      <c r="G375" s="317"/>
      <c r="H375" s="324"/>
      <c r="I375" s="100"/>
      <c r="J375" s="162"/>
      <c r="K375" s="164"/>
      <c r="L375" s="323"/>
      <c r="M375" s="323"/>
      <c r="N375" s="166"/>
      <c r="O375" s="323"/>
      <c r="P375" s="322"/>
      <c r="Q375" s="322"/>
      <c r="R375" s="322"/>
      <c r="S375" s="322"/>
      <c r="T375" s="302"/>
      <c r="U375" s="318"/>
      <c r="V375" s="106"/>
      <c r="W375" s="134"/>
      <c r="X375" s="344"/>
      <c r="Y375" s="240"/>
      <c r="Z375" s="326"/>
      <c r="AA375" s="94"/>
      <c r="AB375" s="648"/>
      <c r="AC375" s="94"/>
      <c r="AD375" s="94"/>
      <c r="AE375" s="607"/>
    </row>
    <row r="376" spans="1:32" s="179" customFormat="1" x14ac:dyDescent="0.25">
      <c r="B376" s="178" t="s">
        <v>461</v>
      </c>
      <c r="C376" s="317"/>
      <c r="D376" s="193" t="s">
        <v>50</v>
      </c>
      <c r="E376" s="317"/>
      <c r="F376" s="457">
        <v>208</v>
      </c>
      <c r="G376" s="317"/>
      <c r="H376" s="324" t="s">
        <v>51</v>
      </c>
      <c r="I376" s="100"/>
      <c r="J376" s="162">
        <f>+(24)*3</f>
        <v>72</v>
      </c>
      <c r="K376" s="164"/>
      <c r="L376" s="193" t="s">
        <v>298</v>
      </c>
      <c r="M376" s="317"/>
      <c r="N376" s="323"/>
      <c r="O376" s="323"/>
      <c r="P376" s="321">
        <f>+'Staff Detail'!B55</f>
        <v>30</v>
      </c>
      <c r="Q376" s="322"/>
      <c r="R376" s="327">
        <f t="shared" ref="R376:R383" si="322">P376/$V$6</f>
        <v>8.5714285714285712</v>
      </c>
      <c r="S376" s="322"/>
      <c r="T376" s="319">
        <f t="shared" ref="T376:T383" si="323">IF(N376=0,IF(J376=0,F376*P376,F376*J376*P376),F376*J376*N376*P376)</f>
        <v>449280</v>
      </c>
      <c r="U376" s="317"/>
      <c r="V376" s="319">
        <f t="shared" ref="V376:V383" si="324">T376/$V$6</f>
        <v>128365.71428571429</v>
      </c>
      <c r="W376" s="320"/>
      <c r="X376" s="337">
        <f t="shared" ref="X376:X383" si="325">V376/$V$3</f>
        <v>4.7776270767931138E-2</v>
      </c>
      <c r="Y376" s="167"/>
      <c r="Z376" s="326">
        <f t="shared" ref="Z376:Z384" si="326">V376/$V$601</f>
        <v>6.9223412617948316E-2</v>
      </c>
      <c r="AA376" s="635">
        <v>0</v>
      </c>
      <c r="AB376" s="638">
        <f t="shared" ref="AB376:AB383" si="327">+W376+V376*AA376</f>
        <v>0</v>
      </c>
      <c r="AC376" s="636">
        <f t="shared" ref="AC376:AC383" si="328">+AD376/V376</f>
        <v>1</v>
      </c>
      <c r="AD376" s="292">
        <f t="shared" ref="AD376:AD383" si="329">+V376-AB376</f>
        <v>128365.71428571429</v>
      </c>
      <c r="AE376" s="607" t="s">
        <v>99</v>
      </c>
    </row>
    <row r="377" spans="1:32" s="179" customFormat="1" x14ac:dyDescent="0.25">
      <c r="B377" s="178" t="s">
        <v>499</v>
      </c>
      <c r="C377" s="317"/>
      <c r="D377" s="193" t="s">
        <v>483</v>
      </c>
      <c r="E377" s="100"/>
      <c r="F377" s="457">
        <f>+V4</f>
        <v>967251.10466480604</v>
      </c>
      <c r="G377" s="317"/>
      <c r="H377" s="324" t="s">
        <v>481</v>
      </c>
      <c r="I377" s="100"/>
      <c r="J377" s="843">
        <f>2*12*3</f>
        <v>72</v>
      </c>
      <c r="K377" s="164"/>
      <c r="L377" s="193" t="s">
        <v>482</v>
      </c>
      <c r="M377" s="317"/>
      <c r="N377" s="323"/>
      <c r="O377" s="323"/>
      <c r="P377" s="844">
        <f>+P437</f>
        <v>1E-3</v>
      </c>
      <c r="Q377" s="322"/>
      <c r="R377" s="327">
        <f t="shared" si="322"/>
        <v>2.8571428571428574E-4</v>
      </c>
      <c r="S377" s="322"/>
      <c r="T377" s="319">
        <f t="shared" si="323"/>
        <v>69642.07953586604</v>
      </c>
      <c r="U377" s="317"/>
      <c r="V377" s="319">
        <f t="shared" si="324"/>
        <v>19897.737010247442</v>
      </c>
      <c r="W377" s="320"/>
      <c r="X377" s="337">
        <f t="shared" si="325"/>
        <v>7.4057132495266471E-3</v>
      </c>
      <c r="Y377" s="167"/>
      <c r="Z377" s="326">
        <f t="shared" si="326"/>
        <v>1.0730195885156762E-2</v>
      </c>
      <c r="AA377" s="635">
        <v>0</v>
      </c>
      <c r="AB377" s="638">
        <f t="shared" si="327"/>
        <v>0</v>
      </c>
      <c r="AC377" s="636">
        <f t="shared" si="328"/>
        <v>1</v>
      </c>
      <c r="AD377" s="292">
        <f t="shared" si="329"/>
        <v>19897.737010247442</v>
      </c>
      <c r="AE377" s="607" t="s">
        <v>99</v>
      </c>
    </row>
    <row r="378" spans="1:32" s="126" customFormat="1" x14ac:dyDescent="0.25">
      <c r="B378" s="178" t="s">
        <v>496</v>
      </c>
      <c r="C378" s="480"/>
      <c r="D378" s="479" t="s">
        <v>50</v>
      </c>
      <c r="E378" s="482"/>
      <c r="F378" s="481">
        <v>3</v>
      </c>
      <c r="G378" s="480"/>
      <c r="H378" s="479" t="s">
        <v>51</v>
      </c>
      <c r="I378" s="482"/>
      <c r="J378" s="839">
        <f>2*12*(3)</f>
        <v>72</v>
      </c>
      <c r="K378" s="541"/>
      <c r="L378" s="479"/>
      <c r="M378" s="478"/>
      <c r="N378" s="729"/>
      <c r="O378" s="478"/>
      <c r="P378" s="481">
        <f>'Staff Detail'!B15</f>
        <v>119.56</v>
      </c>
      <c r="Q378" s="483"/>
      <c r="R378" s="484">
        <f>P378/$V$6</f>
        <v>34.160000000000004</v>
      </c>
      <c r="S378" s="483"/>
      <c r="T378" s="485">
        <f>IF(N378=0,IF(J378=0,F378*P378,F378*J378*P378),F378*J378*N378*P378)</f>
        <v>25824.959999999999</v>
      </c>
      <c r="U378" s="480"/>
      <c r="V378" s="485">
        <f t="shared" si="324"/>
        <v>7378.5599999999995</v>
      </c>
      <c r="W378" s="486"/>
      <c r="X378" s="487">
        <f>V378/$V$3</f>
        <v>2.7462167947181954E-3</v>
      </c>
      <c r="Y378" s="488"/>
      <c r="Z378" s="489">
        <f t="shared" si="326"/>
        <v>3.9790150060586057E-3</v>
      </c>
      <c r="AA378" s="660">
        <v>0</v>
      </c>
      <c r="AB378" s="661">
        <f t="shared" si="327"/>
        <v>0</v>
      </c>
      <c r="AC378" s="662">
        <f>+AD378/V378</f>
        <v>1</v>
      </c>
      <c r="AD378" s="483">
        <f t="shared" si="329"/>
        <v>7378.5599999999995</v>
      </c>
      <c r="AE378" s="480" t="s">
        <v>99</v>
      </c>
    </row>
    <row r="379" spans="1:32" s="126" customFormat="1" x14ac:dyDescent="0.25">
      <c r="B379" s="178" t="s">
        <v>421</v>
      </c>
      <c r="C379" s="480"/>
      <c r="D379" s="479" t="s">
        <v>50</v>
      </c>
      <c r="E379" s="482"/>
      <c r="F379" s="481">
        <v>1</v>
      </c>
      <c r="G379" s="480"/>
      <c r="H379" s="479" t="s">
        <v>51</v>
      </c>
      <c r="I379" s="482"/>
      <c r="J379" s="839">
        <f>6*(3)</f>
        <v>18</v>
      </c>
      <c r="K379" s="541"/>
      <c r="L379" s="479"/>
      <c r="M379" s="480"/>
      <c r="N379" s="478"/>
      <c r="O379" s="478"/>
      <c r="P379" s="481">
        <v>188</v>
      </c>
      <c r="Q379" s="483"/>
      <c r="R379" s="484">
        <f t="shared" ref="R379:R381" si="330">P379/$V$6</f>
        <v>53.714285714285715</v>
      </c>
      <c r="S379" s="483"/>
      <c r="T379" s="485">
        <f t="shared" ref="T379:T381" si="331">IF(N379=0,IF(J379=0,F379*P379,F379*J379*P379),F379*J379*N379*P379)</f>
        <v>3384</v>
      </c>
      <c r="U379" s="480"/>
      <c r="V379" s="485">
        <f t="shared" si="324"/>
        <v>966.85714285714289</v>
      </c>
      <c r="W379" s="486"/>
      <c r="X379" s="487">
        <f t="shared" ref="X379:X381" si="332">V379/$V$3</f>
        <v>3.5985332148922493E-4</v>
      </c>
      <c r="Y379" s="488"/>
      <c r="Z379" s="489">
        <f t="shared" si="326"/>
        <v>5.213942937569825E-4</v>
      </c>
      <c r="AA379" s="660">
        <v>0</v>
      </c>
      <c r="AB379" s="661">
        <f t="shared" si="327"/>
        <v>0</v>
      </c>
      <c r="AC379" s="662">
        <f t="shared" ref="AC379:AC381" si="333">+AD379/V379</f>
        <v>1</v>
      </c>
      <c r="AD379" s="483">
        <f t="shared" si="329"/>
        <v>966.85714285714289</v>
      </c>
      <c r="AE379" s="480" t="s">
        <v>99</v>
      </c>
    </row>
    <row r="380" spans="1:32" s="126" customFormat="1" x14ac:dyDescent="0.25">
      <c r="B380" s="178" t="s">
        <v>422</v>
      </c>
      <c r="C380" s="480"/>
      <c r="D380" s="479" t="s">
        <v>50</v>
      </c>
      <c r="E380" s="482"/>
      <c r="F380" s="481">
        <v>1</v>
      </c>
      <c r="G380" s="480"/>
      <c r="H380" s="479" t="s">
        <v>51</v>
      </c>
      <c r="I380" s="482"/>
      <c r="J380" s="839">
        <f>6*(3)</f>
        <v>18</v>
      </c>
      <c r="K380" s="541"/>
      <c r="L380" s="479"/>
      <c r="M380" s="480"/>
      <c r="N380" s="478"/>
      <c r="O380" s="478"/>
      <c r="P380" s="481">
        <v>267</v>
      </c>
      <c r="Q380" s="483"/>
      <c r="R380" s="484">
        <f t="shared" si="330"/>
        <v>76.285714285714292</v>
      </c>
      <c r="S380" s="483"/>
      <c r="T380" s="485">
        <f t="shared" si="331"/>
        <v>4806</v>
      </c>
      <c r="U380" s="480"/>
      <c r="V380" s="485">
        <f t="shared" si="324"/>
        <v>1373.1428571428571</v>
      </c>
      <c r="W380" s="486"/>
      <c r="X380" s="487">
        <f t="shared" si="332"/>
        <v>5.1106828105118639E-4</v>
      </c>
      <c r="Y380" s="488"/>
      <c r="Z380" s="489">
        <f t="shared" si="326"/>
        <v>7.4049083209103367E-4</v>
      </c>
      <c r="AA380" s="660">
        <v>0</v>
      </c>
      <c r="AB380" s="661">
        <f t="shared" si="327"/>
        <v>0</v>
      </c>
      <c r="AC380" s="662">
        <f t="shared" si="333"/>
        <v>1</v>
      </c>
      <c r="AD380" s="483">
        <f t="shared" si="329"/>
        <v>1373.1428571428571</v>
      </c>
      <c r="AE380" s="480" t="s">
        <v>99</v>
      </c>
    </row>
    <row r="381" spans="1:32" s="126" customFormat="1" x14ac:dyDescent="0.25">
      <c r="B381" s="178" t="s">
        <v>423</v>
      </c>
      <c r="C381" s="480"/>
      <c r="D381" s="479" t="s">
        <v>50</v>
      </c>
      <c r="E381" s="482"/>
      <c r="F381" s="481">
        <v>2</v>
      </c>
      <c r="G381" s="480"/>
      <c r="H381" s="479" t="s">
        <v>51</v>
      </c>
      <c r="I381" s="482"/>
      <c r="J381" s="839">
        <f>4*3</f>
        <v>12</v>
      </c>
      <c r="K381" s="541"/>
      <c r="L381" s="479"/>
      <c r="M381" s="480"/>
      <c r="N381" s="478"/>
      <c r="O381" s="478"/>
      <c r="P381" s="481">
        <f>+(35000/12)/30*3.5</f>
        <v>340.27777777777777</v>
      </c>
      <c r="Q381" s="483"/>
      <c r="R381" s="484">
        <f t="shared" si="330"/>
        <v>97.222222222222214</v>
      </c>
      <c r="S381" s="483"/>
      <c r="T381" s="485">
        <f t="shared" si="331"/>
        <v>8166.6666666666661</v>
      </c>
      <c r="U381" s="480"/>
      <c r="V381" s="485">
        <f t="shared" si="324"/>
        <v>2333.333333333333</v>
      </c>
      <c r="W381" s="486"/>
      <c r="X381" s="487">
        <f t="shared" si="332"/>
        <v>8.6844034441351545E-4</v>
      </c>
      <c r="Y381" s="488"/>
      <c r="Z381" s="489">
        <f t="shared" si="326"/>
        <v>1.2582900115293606E-3</v>
      </c>
      <c r="AA381" s="660">
        <v>0</v>
      </c>
      <c r="AB381" s="661">
        <f t="shared" si="327"/>
        <v>0</v>
      </c>
      <c r="AC381" s="662">
        <f t="shared" si="333"/>
        <v>1</v>
      </c>
      <c r="AD381" s="483">
        <f t="shared" si="329"/>
        <v>2333.333333333333</v>
      </c>
      <c r="AE381" s="480" t="s">
        <v>99</v>
      </c>
    </row>
    <row r="382" spans="1:32" s="126" customFormat="1" x14ac:dyDescent="0.25">
      <c r="B382" s="178" t="s">
        <v>498</v>
      </c>
      <c r="C382" s="480"/>
      <c r="D382" s="479" t="s">
        <v>50</v>
      </c>
      <c r="E382" s="482"/>
      <c r="F382" s="481">
        <v>2</v>
      </c>
      <c r="G382" s="480"/>
      <c r="H382" s="479" t="s">
        <v>51</v>
      </c>
      <c r="I382" s="482"/>
      <c r="J382" s="839">
        <f>2*3</f>
        <v>6</v>
      </c>
      <c r="K382" s="541"/>
      <c r="L382" s="479"/>
      <c r="M382" s="480"/>
      <c r="N382" s="478"/>
      <c r="O382" s="478"/>
      <c r="P382" s="481">
        <f>(165000/12)/30*3.5</f>
        <v>1604.1666666666665</v>
      </c>
      <c r="Q382" s="483"/>
      <c r="R382" s="484">
        <f t="shared" ref="R382" si="334">P382/$V$6</f>
        <v>458.33333333333331</v>
      </c>
      <c r="S382" s="483"/>
      <c r="T382" s="485">
        <f t="shared" ref="T382" si="335">IF(N382=0,IF(J382=0,F382*P382,F382*J382*P382),F382*J382*N382*P382)</f>
        <v>19250</v>
      </c>
      <c r="U382" s="480"/>
      <c r="V382" s="485">
        <f t="shared" ref="V382" si="336">T382/$V$6</f>
        <v>5500</v>
      </c>
      <c r="W382" s="486"/>
      <c r="X382" s="487">
        <f t="shared" ref="X382" si="337">V382/$V$3</f>
        <v>2.0470379546890008E-3</v>
      </c>
      <c r="Y382" s="488"/>
      <c r="Z382" s="489">
        <f t="shared" si="326"/>
        <v>2.9659693128906363E-3</v>
      </c>
      <c r="AA382" s="660">
        <v>0</v>
      </c>
      <c r="AB382" s="661">
        <f t="shared" si="327"/>
        <v>0</v>
      </c>
      <c r="AC382" s="662">
        <f t="shared" ref="AC382" si="338">+AD382/V382</f>
        <v>1</v>
      </c>
      <c r="AD382" s="483">
        <f t="shared" si="329"/>
        <v>5500</v>
      </c>
      <c r="AE382" s="480" t="s">
        <v>99</v>
      </c>
    </row>
    <row r="383" spans="1:32" s="179" customFormat="1" x14ac:dyDescent="0.25">
      <c r="B383" s="178" t="s">
        <v>361</v>
      </c>
      <c r="C383" s="317"/>
      <c r="D383" s="193" t="s">
        <v>157</v>
      </c>
      <c r="E383" s="317"/>
      <c r="F383" s="457">
        <v>4</v>
      </c>
      <c r="G383" s="317"/>
      <c r="H383" s="324" t="s">
        <v>362</v>
      </c>
      <c r="I383" s="100"/>
      <c r="J383" s="162"/>
      <c r="K383" s="164"/>
      <c r="L383" s="193"/>
      <c r="M383" s="317"/>
      <c r="N383" s="323"/>
      <c r="O383" s="323"/>
      <c r="P383" s="321">
        <f>550*3.5</f>
        <v>1925</v>
      </c>
      <c r="Q383" s="322"/>
      <c r="R383" s="327">
        <f t="shared" si="322"/>
        <v>550</v>
      </c>
      <c r="S383" s="322"/>
      <c r="T383" s="319">
        <f t="shared" si="323"/>
        <v>7700</v>
      </c>
      <c r="U383" s="317"/>
      <c r="V383" s="319">
        <f t="shared" si="324"/>
        <v>2200</v>
      </c>
      <c r="W383" s="320"/>
      <c r="X383" s="337">
        <f t="shared" si="325"/>
        <v>8.1881518187560038E-4</v>
      </c>
      <c r="Y383" s="167"/>
      <c r="Z383" s="473">
        <f t="shared" si="326"/>
        <v>1.1863877251562544E-3</v>
      </c>
      <c r="AA383" s="635">
        <v>0</v>
      </c>
      <c r="AB383" s="638">
        <f t="shared" si="327"/>
        <v>0</v>
      </c>
      <c r="AC383" s="636">
        <f t="shared" si="328"/>
        <v>1</v>
      </c>
      <c r="AD383" s="292">
        <f t="shared" si="329"/>
        <v>2200</v>
      </c>
      <c r="AE383" s="607" t="s">
        <v>99</v>
      </c>
    </row>
    <row r="384" spans="1:32" s="179" customFormat="1" ht="15.75" thickBot="1" x14ac:dyDescent="0.3">
      <c r="A384" s="179" t="s">
        <v>313</v>
      </c>
      <c r="B384" s="176" t="s">
        <v>303</v>
      </c>
      <c r="C384" s="317"/>
      <c r="D384" s="324"/>
      <c r="E384" s="317"/>
      <c r="F384" s="322"/>
      <c r="G384" s="317"/>
      <c r="H384" s="324"/>
      <c r="I384" s="317"/>
      <c r="J384" s="162"/>
      <c r="K384" s="322"/>
      <c r="L384" s="323"/>
      <c r="M384" s="323"/>
      <c r="N384" s="166"/>
      <c r="O384" s="323"/>
      <c r="P384" s="322"/>
      <c r="Q384" s="322"/>
      <c r="R384" s="322"/>
      <c r="S384" s="322"/>
      <c r="T384" s="133">
        <f>SUM(T376:T383)</f>
        <v>588053.70620253263</v>
      </c>
      <c r="U384" s="318"/>
      <c r="V384" s="133">
        <f>SUM(V376:V383)</f>
        <v>168015.34462929508</v>
      </c>
      <c r="W384" s="134"/>
      <c r="X384" s="338">
        <f>SUM(X376:X383)</f>
        <v>6.2533415895694514E-2</v>
      </c>
      <c r="Y384" s="240"/>
      <c r="Z384" s="242">
        <f t="shared" si="326"/>
        <v>9.0605155684587962E-2</v>
      </c>
      <c r="AA384" s="94"/>
      <c r="AB384" s="133">
        <f>SUM(AB376:AB383)</f>
        <v>0</v>
      </c>
      <c r="AC384" s="94"/>
      <c r="AD384" s="133">
        <f>SUM(AD376:AD383)</f>
        <v>168015.34462929508</v>
      </c>
      <c r="AE384" s="607"/>
    </row>
    <row r="385" spans="2:32" s="179" customFormat="1" x14ac:dyDescent="0.25">
      <c r="B385" s="177"/>
      <c r="C385" s="317"/>
      <c r="D385" s="324"/>
      <c r="E385" s="317"/>
      <c r="F385" s="322"/>
      <c r="G385" s="317"/>
      <c r="H385" s="324"/>
      <c r="I385" s="100"/>
      <c r="J385" s="162"/>
      <c r="K385" s="164"/>
      <c r="L385" s="323"/>
      <c r="M385" s="323"/>
      <c r="N385" s="166"/>
      <c r="O385" s="323"/>
      <c r="P385" s="322"/>
      <c r="Q385" s="322"/>
      <c r="R385" s="322"/>
      <c r="S385" s="322"/>
      <c r="T385" s="302"/>
      <c r="U385" s="318"/>
      <c r="V385" s="302"/>
      <c r="W385" s="134"/>
      <c r="X385" s="344"/>
      <c r="Y385" s="240"/>
      <c r="Z385" s="326"/>
      <c r="AA385" s="94"/>
      <c r="AB385" s="671"/>
      <c r="AC385" s="94"/>
      <c r="AD385" s="671"/>
      <c r="AE385" s="607"/>
    </row>
    <row r="386" spans="2:32" s="112" customFormat="1" ht="15" customHeight="1" x14ac:dyDescent="0.25">
      <c r="B386" s="470" t="s">
        <v>538</v>
      </c>
      <c r="C386" s="318"/>
      <c r="D386" s="324"/>
      <c r="E386" s="100"/>
      <c r="F386" s="608"/>
      <c r="G386" s="94"/>
      <c r="H386" s="324"/>
      <c r="I386" s="100"/>
      <c r="J386" s="162"/>
      <c r="K386" s="164"/>
      <c r="L386" s="323"/>
      <c r="M386" s="323"/>
      <c r="N386" s="166"/>
      <c r="O386" s="323"/>
      <c r="P386" s="322"/>
      <c r="Q386" s="322"/>
      <c r="R386" s="322"/>
      <c r="S386" s="322"/>
      <c r="T386" s="134"/>
      <c r="U386" s="318"/>
      <c r="V386" s="134"/>
      <c r="W386" s="134"/>
      <c r="X386" s="355"/>
      <c r="Y386" s="469"/>
      <c r="Z386" s="290"/>
      <c r="AA386" s="94"/>
      <c r="AB386" s="648"/>
      <c r="AC386" s="94"/>
      <c r="AD386" s="94"/>
      <c r="AE386" s="607"/>
      <c r="AF386" s="211"/>
    </row>
    <row r="387" spans="2:32" s="112" customFormat="1" ht="15" customHeight="1" x14ac:dyDescent="0.25">
      <c r="B387" s="470" t="s">
        <v>451</v>
      </c>
      <c r="C387" s="318"/>
      <c r="D387" s="324"/>
      <c r="E387" s="100"/>
      <c r="F387" s="608"/>
      <c r="G387" s="94"/>
      <c r="H387" s="324"/>
      <c r="I387" s="100"/>
      <c r="J387" s="162"/>
      <c r="K387" s="164"/>
      <c r="L387" s="323"/>
      <c r="M387" s="323"/>
      <c r="N387" s="166"/>
      <c r="O387" s="323"/>
      <c r="P387" s="322"/>
      <c r="Q387" s="322"/>
      <c r="R387" s="322"/>
      <c r="S387" s="322"/>
      <c r="T387" s="134"/>
      <c r="U387" s="318"/>
      <c r="V387" s="134"/>
      <c r="W387" s="134"/>
      <c r="X387" s="355"/>
      <c r="Y387" s="469"/>
      <c r="Z387" s="290"/>
      <c r="AA387" s="94"/>
      <c r="AB387" s="648"/>
      <c r="AC387" s="94"/>
      <c r="AD387" s="94"/>
      <c r="AE387" s="607"/>
      <c r="AF387" s="211"/>
    </row>
    <row r="388" spans="2:32" s="112" customFormat="1" ht="15" customHeight="1" x14ac:dyDescent="0.25">
      <c r="B388" s="178" t="s">
        <v>421</v>
      </c>
      <c r="C388" s="318"/>
      <c r="D388" s="193" t="s">
        <v>50</v>
      </c>
      <c r="E388" s="100"/>
      <c r="F388" s="481">
        <v>1</v>
      </c>
      <c r="G388" s="94"/>
      <c r="H388" s="193" t="s">
        <v>51</v>
      </c>
      <c r="I388" s="100"/>
      <c r="J388" s="321">
        <f>2*4*3</f>
        <v>24</v>
      </c>
      <c r="K388" s="164"/>
      <c r="L388" s="193"/>
      <c r="M388" s="317"/>
      <c r="N388" s="323"/>
      <c r="O388" s="323"/>
      <c r="P388" s="481">
        <f>+'Staff Detail'!B$27</f>
        <v>226.57906849315069</v>
      </c>
      <c r="Q388" s="322"/>
      <c r="R388" s="327">
        <f t="shared" ref="R388:R391" si="339">P388/$V$6</f>
        <v>64.736876712328765</v>
      </c>
      <c r="S388" s="322"/>
      <c r="T388" s="319">
        <f t="shared" ref="T388:T391" si="340">IF(N388=0,IF(J388=0,F388*P388,F388*J388*P388),F388*J388*N388*P388)</f>
        <v>5437.8976438356167</v>
      </c>
      <c r="U388" s="317"/>
      <c r="V388" s="319">
        <f t="shared" ref="V388:V391" si="341">T388/$V$6</f>
        <v>1553.6850410958905</v>
      </c>
      <c r="W388" s="320"/>
      <c r="X388" s="337">
        <f t="shared" ref="X388:X391" si="342">V388/$V$3</f>
        <v>5.7826404522833236E-4</v>
      </c>
      <c r="Y388" s="167"/>
      <c r="Z388" s="326">
        <f>V388/$V$601</f>
        <v>8.378513006886615E-4</v>
      </c>
      <c r="AA388" s="636">
        <v>0.16666666666666666</v>
      </c>
      <c r="AB388" s="638">
        <f>+W388+V388*AA388</f>
        <v>258.94750684931506</v>
      </c>
      <c r="AC388" s="636">
        <f t="shared" ref="AC388:AC391" si="343">+AD388/V388</f>
        <v>0.83333333333333337</v>
      </c>
      <c r="AD388" s="292">
        <f>+V388-AB388</f>
        <v>1294.7375342465755</v>
      </c>
      <c r="AE388" s="607" t="s">
        <v>99</v>
      </c>
      <c r="AF388" s="211"/>
    </row>
    <row r="389" spans="2:32" s="112" customFormat="1" ht="15" customHeight="1" x14ac:dyDescent="0.25">
      <c r="B389" s="178" t="s">
        <v>453</v>
      </c>
      <c r="C389" s="318"/>
      <c r="D389" s="193" t="s">
        <v>50</v>
      </c>
      <c r="E389" s="100"/>
      <c r="F389" s="481">
        <v>1</v>
      </c>
      <c r="G389" s="94"/>
      <c r="H389" s="193" t="s">
        <v>51</v>
      </c>
      <c r="I389" s="100"/>
      <c r="J389" s="321">
        <f>2*4*3</f>
        <v>24</v>
      </c>
      <c r="K389" s="164"/>
      <c r="L389" s="193"/>
      <c r="M389" s="317"/>
      <c r="N389" s="323"/>
      <c r="O389" s="323"/>
      <c r="P389" s="481">
        <f>+'Staff Detail'!D176+'Staff Detail'!B$20</f>
        <v>128.1</v>
      </c>
      <c r="Q389" s="322"/>
      <c r="R389" s="327">
        <f t="shared" si="339"/>
        <v>36.6</v>
      </c>
      <c r="S389" s="322"/>
      <c r="T389" s="319">
        <f t="shared" si="340"/>
        <v>3074.3999999999996</v>
      </c>
      <c r="U389" s="317"/>
      <c r="V389" s="319">
        <f t="shared" si="341"/>
        <v>878.39999999999986</v>
      </c>
      <c r="W389" s="320"/>
      <c r="X389" s="337">
        <f t="shared" si="342"/>
        <v>3.2693057079978511E-4</v>
      </c>
      <c r="Y389" s="167"/>
      <c r="Z389" s="326">
        <f>V389/$V$601</f>
        <v>4.7369226262602445E-4</v>
      </c>
      <c r="AA389" s="636">
        <v>0.16666666666666666</v>
      </c>
      <c r="AB389" s="638">
        <f>+W389+V389*AA389</f>
        <v>146.39999999999998</v>
      </c>
      <c r="AC389" s="636">
        <f t="shared" si="343"/>
        <v>0.83333333333333337</v>
      </c>
      <c r="AD389" s="292">
        <f>+V389-AB389</f>
        <v>731.99999999999989</v>
      </c>
      <c r="AE389" s="607" t="s">
        <v>99</v>
      </c>
      <c r="AF389" s="211"/>
    </row>
    <row r="390" spans="2:32" s="112" customFormat="1" ht="15" customHeight="1" x14ac:dyDescent="0.25">
      <c r="B390" s="178" t="s">
        <v>456</v>
      </c>
      <c r="C390" s="318"/>
      <c r="D390" s="193" t="s">
        <v>50</v>
      </c>
      <c r="E390" s="100"/>
      <c r="F390" s="481">
        <v>1</v>
      </c>
      <c r="G390" s="94"/>
      <c r="H390" s="193" t="s">
        <v>51</v>
      </c>
      <c r="I390" s="100"/>
      <c r="J390" s="321">
        <f>2*4*3</f>
        <v>24</v>
      </c>
      <c r="K390" s="164"/>
      <c r="L390" s="193"/>
      <c r="M390" s="317"/>
      <c r="N390" s="323"/>
      <c r="O390" s="323"/>
      <c r="P390" s="481">
        <f>+'Staff Detail'!B$30</f>
        <v>222.03625643835619</v>
      </c>
      <c r="Q390" s="322"/>
      <c r="R390" s="327">
        <f t="shared" si="339"/>
        <v>63.43893041095891</v>
      </c>
      <c r="S390" s="322"/>
      <c r="T390" s="319">
        <f t="shared" si="340"/>
        <v>5328.8701545205486</v>
      </c>
      <c r="U390" s="317"/>
      <c r="V390" s="319">
        <f t="shared" si="341"/>
        <v>1522.5343298630139</v>
      </c>
      <c r="W390" s="320"/>
      <c r="X390" s="337">
        <f t="shared" si="342"/>
        <v>5.6667010191755872E-4</v>
      </c>
      <c r="Y390" s="167"/>
      <c r="Z390" s="326">
        <f>V390/$V$601</f>
        <v>8.2105274549021975E-4</v>
      </c>
      <c r="AA390" s="636">
        <v>0.16666666666666666</v>
      </c>
      <c r="AB390" s="638">
        <f>+W390+V390*AA390</f>
        <v>253.75572164383564</v>
      </c>
      <c r="AC390" s="636">
        <f t="shared" si="343"/>
        <v>0.83333333333333337</v>
      </c>
      <c r="AD390" s="292">
        <f>+V390-AB390</f>
        <v>1268.7786082191783</v>
      </c>
      <c r="AE390" s="607" t="s">
        <v>99</v>
      </c>
      <c r="AF390" s="211"/>
    </row>
    <row r="391" spans="2:32" s="112" customFormat="1" ht="15" customHeight="1" x14ac:dyDescent="0.25">
      <c r="B391" s="178" t="s">
        <v>418</v>
      </c>
      <c r="C391" s="318"/>
      <c r="D391" s="193" t="s">
        <v>50</v>
      </c>
      <c r="E391" s="100"/>
      <c r="F391" s="481">
        <v>1</v>
      </c>
      <c r="G391" s="94"/>
      <c r="H391" s="193" t="s">
        <v>51</v>
      </c>
      <c r="I391" s="100"/>
      <c r="J391" s="321">
        <v>6</v>
      </c>
      <c r="K391" s="164"/>
      <c r="L391" s="193"/>
      <c r="M391" s="317"/>
      <c r="N391" s="323"/>
      <c r="O391" s="323"/>
      <c r="P391" s="481">
        <f>+'Staff Detail'!B$38</f>
        <v>383.56164383561645</v>
      </c>
      <c r="Q391" s="322"/>
      <c r="R391" s="327">
        <f t="shared" si="339"/>
        <v>109.58904109589041</v>
      </c>
      <c r="S391" s="322"/>
      <c r="T391" s="319">
        <f t="shared" si="340"/>
        <v>2301.3698630136987</v>
      </c>
      <c r="U391" s="317"/>
      <c r="V391" s="319">
        <f t="shared" si="341"/>
        <v>657.53424657534254</v>
      </c>
      <c r="W391" s="320"/>
      <c r="X391" s="337">
        <f t="shared" si="342"/>
        <v>2.4472682895410226E-4</v>
      </c>
      <c r="Y391" s="167"/>
      <c r="Z391" s="326">
        <f>V391/$V$601</f>
        <v>3.5458661773038745E-4</v>
      </c>
      <c r="AA391" s="636">
        <v>0.16666666666666666</v>
      </c>
      <c r="AB391" s="638">
        <f>+W391+V391*AA391</f>
        <v>109.58904109589042</v>
      </c>
      <c r="AC391" s="636">
        <f t="shared" si="343"/>
        <v>0.83333333333333337</v>
      </c>
      <c r="AD391" s="292">
        <f>+V391-AB391</f>
        <v>547.94520547945217</v>
      </c>
      <c r="AE391" s="607" t="s">
        <v>99</v>
      </c>
      <c r="AF391" s="211"/>
    </row>
    <row r="392" spans="2:32" s="112" customFormat="1" ht="15" customHeight="1" x14ac:dyDescent="0.25">
      <c r="B392" s="799" t="s">
        <v>207</v>
      </c>
      <c r="C392" s="318"/>
      <c r="D392" s="193"/>
      <c r="E392" s="100"/>
      <c r="F392" s="481"/>
      <c r="G392" s="94"/>
      <c r="H392" s="193"/>
      <c r="I392" s="100"/>
      <c r="J392" s="321"/>
      <c r="K392" s="164"/>
      <c r="L392" s="193"/>
      <c r="M392" s="317"/>
      <c r="N392" s="323"/>
      <c r="O392" s="323"/>
      <c r="P392" s="481"/>
      <c r="Q392" s="322"/>
      <c r="R392" s="327"/>
      <c r="S392" s="322"/>
      <c r="T392" s="319"/>
      <c r="U392" s="317"/>
      <c r="V392" s="319"/>
      <c r="W392" s="320"/>
      <c r="X392" s="337"/>
      <c r="Y392" s="167"/>
      <c r="Z392" s="326"/>
      <c r="AA392" s="635"/>
      <c r="AB392" s="638"/>
      <c r="AC392" s="636"/>
      <c r="AD392" s="292"/>
      <c r="AE392" s="607"/>
      <c r="AF392" s="211"/>
    </row>
    <row r="393" spans="2:32" s="112" customFormat="1" ht="15" customHeight="1" x14ac:dyDescent="0.25">
      <c r="B393" s="178" t="s">
        <v>453</v>
      </c>
      <c r="C393" s="318"/>
      <c r="D393" s="193" t="s">
        <v>50</v>
      </c>
      <c r="E393" s="100"/>
      <c r="F393" s="481">
        <v>1</v>
      </c>
      <c r="G393" s="94"/>
      <c r="H393" s="193" t="s">
        <v>51</v>
      </c>
      <c r="I393" s="100"/>
      <c r="J393" s="321">
        <f>2*4*3</f>
        <v>24</v>
      </c>
      <c r="K393" s="164"/>
      <c r="L393" s="193"/>
      <c r="M393" s="317"/>
      <c r="N393" s="323"/>
      <c r="O393" s="323"/>
      <c r="P393" s="481">
        <f>+P389</f>
        <v>128.1</v>
      </c>
      <c r="Q393" s="322"/>
      <c r="R393" s="327">
        <f t="shared" ref="R393:R396" si="344">P393/$V$6</f>
        <v>36.6</v>
      </c>
      <c r="S393" s="322"/>
      <c r="T393" s="319">
        <f t="shared" ref="T393:T396" si="345">IF(N393=0,IF(J393=0,F393*P393,F393*J393*P393),F393*J393*N393*P393)</f>
        <v>3074.3999999999996</v>
      </c>
      <c r="U393" s="317"/>
      <c r="V393" s="319">
        <f t="shared" ref="V393:V396" si="346">T393/$V$6</f>
        <v>878.39999999999986</v>
      </c>
      <c r="W393" s="320"/>
      <c r="X393" s="337">
        <f t="shared" ref="X393:X396" si="347">V393/$V$3</f>
        <v>3.2693057079978511E-4</v>
      </c>
      <c r="Y393" s="167"/>
      <c r="Z393" s="326">
        <f>V393/$V$601</f>
        <v>4.7369226262602445E-4</v>
      </c>
      <c r="AA393" s="636">
        <v>0.16666666666666666</v>
      </c>
      <c r="AB393" s="638">
        <f>+W393+V393*AA393</f>
        <v>146.39999999999998</v>
      </c>
      <c r="AC393" s="636">
        <f t="shared" ref="AC393:AC396" si="348">+AD393/V393</f>
        <v>0.83333333333333337</v>
      </c>
      <c r="AD393" s="292">
        <f>+V393-AB393</f>
        <v>731.99999999999989</v>
      </c>
      <c r="AE393" s="607" t="s">
        <v>99</v>
      </c>
      <c r="AF393" s="211"/>
    </row>
    <row r="394" spans="2:32" s="112" customFormat="1" ht="15" customHeight="1" x14ac:dyDescent="0.25">
      <c r="B394" s="178" t="s">
        <v>421</v>
      </c>
      <c r="C394" s="318"/>
      <c r="D394" s="193" t="s">
        <v>50</v>
      </c>
      <c r="E394" s="100"/>
      <c r="F394" s="481">
        <v>1</v>
      </c>
      <c r="G394" s="94"/>
      <c r="H394" s="193" t="s">
        <v>51</v>
      </c>
      <c r="I394" s="100"/>
      <c r="J394" s="321">
        <f>2*4*3</f>
        <v>24</v>
      </c>
      <c r="K394" s="164"/>
      <c r="L394" s="193"/>
      <c r="M394" s="317"/>
      <c r="N394" s="323"/>
      <c r="O394" s="323"/>
      <c r="P394" s="321">
        <f>+P388</f>
        <v>226.57906849315069</v>
      </c>
      <c r="Q394" s="322"/>
      <c r="R394" s="327">
        <f t="shared" si="344"/>
        <v>64.736876712328765</v>
      </c>
      <c r="S394" s="322"/>
      <c r="T394" s="319">
        <f t="shared" si="345"/>
        <v>5437.8976438356167</v>
      </c>
      <c r="U394" s="317"/>
      <c r="V394" s="319">
        <f t="shared" si="346"/>
        <v>1553.6850410958905</v>
      </c>
      <c r="W394" s="320"/>
      <c r="X394" s="337">
        <f t="shared" si="347"/>
        <v>5.7826404522833236E-4</v>
      </c>
      <c r="Y394" s="167"/>
      <c r="Z394" s="326">
        <f>V394/$V$601</f>
        <v>8.378513006886615E-4</v>
      </c>
      <c r="AA394" s="636">
        <v>0.16666666666666666</v>
      </c>
      <c r="AB394" s="638">
        <f>+W394+V394*AA394</f>
        <v>258.94750684931506</v>
      </c>
      <c r="AC394" s="636">
        <f t="shared" si="348"/>
        <v>0.83333333333333337</v>
      </c>
      <c r="AD394" s="292">
        <f>+V394-AB394</f>
        <v>1294.7375342465755</v>
      </c>
      <c r="AE394" s="607" t="s">
        <v>99</v>
      </c>
      <c r="AF394" s="211"/>
    </row>
    <row r="395" spans="2:32" s="112" customFormat="1" ht="15" customHeight="1" x14ac:dyDescent="0.25">
      <c r="B395" s="178" t="s">
        <v>456</v>
      </c>
      <c r="C395" s="318"/>
      <c r="D395" s="193" t="s">
        <v>50</v>
      </c>
      <c r="E395" s="100"/>
      <c r="F395" s="481">
        <v>1</v>
      </c>
      <c r="G395" s="94"/>
      <c r="H395" s="193" t="s">
        <v>51</v>
      </c>
      <c r="I395" s="100"/>
      <c r="J395" s="321">
        <f>2*4*3</f>
        <v>24</v>
      </c>
      <c r="K395" s="164"/>
      <c r="L395" s="193"/>
      <c r="M395" s="317"/>
      <c r="N395" s="323"/>
      <c r="O395" s="323"/>
      <c r="P395" s="481">
        <f>+P390</f>
        <v>222.03625643835619</v>
      </c>
      <c r="Q395" s="322"/>
      <c r="R395" s="327">
        <f t="shared" si="344"/>
        <v>63.43893041095891</v>
      </c>
      <c r="S395" s="322"/>
      <c r="T395" s="319">
        <f t="shared" si="345"/>
        <v>5328.8701545205486</v>
      </c>
      <c r="U395" s="317"/>
      <c r="V395" s="319">
        <f t="shared" si="346"/>
        <v>1522.5343298630139</v>
      </c>
      <c r="W395" s="320"/>
      <c r="X395" s="337">
        <f t="shared" si="347"/>
        <v>5.6667010191755872E-4</v>
      </c>
      <c r="Y395" s="167"/>
      <c r="Z395" s="326">
        <f>V395/$V$601</f>
        <v>8.2105274549021975E-4</v>
      </c>
      <c r="AA395" s="636">
        <v>0.16666666666666666</v>
      </c>
      <c r="AB395" s="638">
        <f>+W395+V395*AA395</f>
        <v>253.75572164383564</v>
      </c>
      <c r="AC395" s="636">
        <f t="shared" si="348"/>
        <v>0.83333333333333337</v>
      </c>
      <c r="AD395" s="292">
        <f>+V395-AB395</f>
        <v>1268.7786082191783</v>
      </c>
      <c r="AE395" s="607" t="s">
        <v>99</v>
      </c>
      <c r="AF395" s="211"/>
    </row>
    <row r="396" spans="2:32" s="112" customFormat="1" ht="15" customHeight="1" x14ac:dyDescent="0.25">
      <c r="B396" s="178" t="s">
        <v>418</v>
      </c>
      <c r="C396" s="318"/>
      <c r="D396" s="193" t="s">
        <v>50</v>
      </c>
      <c r="E396" s="100"/>
      <c r="F396" s="481">
        <v>1</v>
      </c>
      <c r="G396" s="94"/>
      <c r="H396" s="193" t="s">
        <v>51</v>
      </c>
      <c r="I396" s="100"/>
      <c r="J396" s="321">
        <v>6</v>
      </c>
      <c r="K396" s="164"/>
      <c r="L396" s="193"/>
      <c r="M396" s="317"/>
      <c r="N396" s="323"/>
      <c r="O396" s="323"/>
      <c r="P396" s="481">
        <f>+P391</f>
        <v>383.56164383561645</v>
      </c>
      <c r="Q396" s="322"/>
      <c r="R396" s="327">
        <f t="shared" si="344"/>
        <v>109.58904109589041</v>
      </c>
      <c r="S396" s="322"/>
      <c r="T396" s="319">
        <f t="shared" si="345"/>
        <v>2301.3698630136987</v>
      </c>
      <c r="U396" s="317"/>
      <c r="V396" s="319">
        <f t="shared" si="346"/>
        <v>657.53424657534254</v>
      </c>
      <c r="W396" s="320"/>
      <c r="X396" s="337">
        <f t="shared" si="347"/>
        <v>2.4472682895410226E-4</v>
      </c>
      <c r="Y396" s="167"/>
      <c r="Z396" s="326">
        <f>V396/$V$601</f>
        <v>3.5458661773038745E-4</v>
      </c>
      <c r="AA396" s="636">
        <v>0.16666666666666666</v>
      </c>
      <c r="AB396" s="638">
        <f>+W396+V396*AA396</f>
        <v>109.58904109589042</v>
      </c>
      <c r="AC396" s="636">
        <f t="shared" si="348"/>
        <v>0.83333333333333337</v>
      </c>
      <c r="AD396" s="292">
        <f>+V396-AB396</f>
        <v>547.94520547945217</v>
      </c>
      <c r="AE396" s="607" t="s">
        <v>99</v>
      </c>
      <c r="AF396" s="211"/>
    </row>
    <row r="397" spans="2:32" s="112" customFormat="1" ht="15" customHeight="1" x14ac:dyDescent="0.25">
      <c r="B397" s="799" t="s">
        <v>208</v>
      </c>
      <c r="C397" s="318"/>
      <c r="D397" s="193"/>
      <c r="E397" s="100"/>
      <c r="F397" s="481"/>
      <c r="G397" s="94"/>
      <c r="H397" s="193"/>
      <c r="I397" s="100"/>
      <c r="J397" s="321"/>
      <c r="K397" s="164"/>
      <c r="L397" s="193"/>
      <c r="M397" s="317"/>
      <c r="N397" s="323"/>
      <c r="O397" s="323"/>
      <c r="P397" s="481"/>
      <c r="Q397" s="322"/>
      <c r="R397" s="327"/>
      <c r="S397" s="322"/>
      <c r="T397" s="319"/>
      <c r="U397" s="317"/>
      <c r="V397" s="319"/>
      <c r="W397" s="320"/>
      <c r="X397" s="337"/>
      <c r="Y397" s="167"/>
      <c r="Z397" s="326"/>
      <c r="AA397" s="635"/>
      <c r="AB397" s="638"/>
      <c r="AC397" s="636"/>
      <c r="AD397" s="292"/>
      <c r="AE397" s="607"/>
      <c r="AF397" s="211"/>
    </row>
    <row r="398" spans="2:32" s="112" customFormat="1" ht="15" customHeight="1" x14ac:dyDescent="0.25">
      <c r="B398" s="178" t="s">
        <v>453</v>
      </c>
      <c r="C398" s="318"/>
      <c r="D398" s="193" t="s">
        <v>50</v>
      </c>
      <c r="E398" s="100"/>
      <c r="F398" s="481">
        <v>1</v>
      </c>
      <c r="G398" s="94"/>
      <c r="H398" s="193" t="s">
        <v>51</v>
      </c>
      <c r="I398" s="100"/>
      <c r="J398" s="321">
        <f>2*4*3</f>
        <v>24</v>
      </c>
      <c r="K398" s="164"/>
      <c r="L398" s="193"/>
      <c r="M398" s="317"/>
      <c r="N398" s="323"/>
      <c r="O398" s="323"/>
      <c r="P398" s="481">
        <f>+P393</f>
        <v>128.1</v>
      </c>
      <c r="Q398" s="322"/>
      <c r="R398" s="327">
        <f t="shared" ref="R398:R404" si="349">P398/$V$6</f>
        <v>36.6</v>
      </c>
      <c r="S398" s="322"/>
      <c r="T398" s="319">
        <f t="shared" ref="T398:T404" si="350">IF(N398=0,IF(J398=0,F398*P398,F398*J398*P398),F398*J398*N398*P398)</f>
        <v>3074.3999999999996</v>
      </c>
      <c r="U398" s="317"/>
      <c r="V398" s="319">
        <f t="shared" ref="V398:V404" si="351">T398/$V$6</f>
        <v>878.39999999999986</v>
      </c>
      <c r="W398" s="320"/>
      <c r="X398" s="337">
        <f t="shared" ref="X398:X404" si="352">V398/$V$3</f>
        <v>3.2693057079978511E-4</v>
      </c>
      <c r="Y398" s="167"/>
      <c r="Z398" s="326">
        <f t="shared" ref="Z398:Z405" si="353">V398/$V$601</f>
        <v>4.7369226262602445E-4</v>
      </c>
      <c r="AA398" s="636">
        <v>0.16666666666666666</v>
      </c>
      <c r="AB398" s="638">
        <f t="shared" ref="AB398:AB404" si="354">+W398+V398*AA398</f>
        <v>146.39999999999998</v>
      </c>
      <c r="AC398" s="636">
        <f t="shared" ref="AC398:AC404" si="355">+AD398/V398</f>
        <v>0.83333333333333337</v>
      </c>
      <c r="AD398" s="292">
        <f t="shared" ref="AD398:AD404" si="356">+V398-AB398</f>
        <v>731.99999999999989</v>
      </c>
      <c r="AE398" s="607" t="s">
        <v>99</v>
      </c>
      <c r="AF398" s="211"/>
    </row>
    <row r="399" spans="2:32" s="112" customFormat="1" ht="15" customHeight="1" x14ac:dyDescent="0.25">
      <c r="B399" s="178" t="s">
        <v>421</v>
      </c>
      <c r="C399" s="318"/>
      <c r="D399" s="193" t="s">
        <v>50</v>
      </c>
      <c r="E399" s="100"/>
      <c r="F399" s="481">
        <v>1</v>
      </c>
      <c r="G399" s="94"/>
      <c r="H399" s="193" t="s">
        <v>51</v>
      </c>
      <c r="I399" s="100"/>
      <c r="J399" s="321">
        <f>2*4*3</f>
        <v>24</v>
      </c>
      <c r="K399" s="164"/>
      <c r="L399" s="193"/>
      <c r="M399" s="317"/>
      <c r="N399" s="323"/>
      <c r="O399" s="323"/>
      <c r="P399" s="481">
        <f>+P394</f>
        <v>226.57906849315069</v>
      </c>
      <c r="Q399" s="322"/>
      <c r="R399" s="327">
        <f t="shared" si="349"/>
        <v>64.736876712328765</v>
      </c>
      <c r="S399" s="322"/>
      <c r="T399" s="319">
        <f t="shared" si="350"/>
        <v>5437.8976438356167</v>
      </c>
      <c r="U399" s="317"/>
      <c r="V399" s="319">
        <f t="shared" si="351"/>
        <v>1553.6850410958905</v>
      </c>
      <c r="W399" s="320"/>
      <c r="X399" s="337">
        <f t="shared" si="352"/>
        <v>5.7826404522833236E-4</v>
      </c>
      <c r="Y399" s="167"/>
      <c r="Z399" s="326">
        <f t="shared" si="353"/>
        <v>8.378513006886615E-4</v>
      </c>
      <c r="AA399" s="636">
        <v>0.16666666666666666</v>
      </c>
      <c r="AB399" s="638">
        <f t="shared" si="354"/>
        <v>258.94750684931506</v>
      </c>
      <c r="AC399" s="636">
        <f t="shared" si="355"/>
        <v>0.83333333333333337</v>
      </c>
      <c r="AD399" s="292">
        <f t="shared" si="356"/>
        <v>1294.7375342465755</v>
      </c>
      <c r="AE399" s="607" t="s">
        <v>99</v>
      </c>
      <c r="AF399" s="211"/>
    </row>
    <row r="400" spans="2:32" s="112" customFormat="1" ht="15" customHeight="1" x14ac:dyDescent="0.25">
      <c r="B400" s="178" t="s">
        <v>456</v>
      </c>
      <c r="C400" s="318"/>
      <c r="D400" s="193" t="s">
        <v>50</v>
      </c>
      <c r="E400" s="100"/>
      <c r="F400" s="481">
        <v>1</v>
      </c>
      <c r="G400" s="94"/>
      <c r="H400" s="193" t="s">
        <v>51</v>
      </c>
      <c r="I400" s="100"/>
      <c r="J400" s="321">
        <f>2*4*3</f>
        <v>24</v>
      </c>
      <c r="K400" s="164"/>
      <c r="L400" s="193"/>
      <c r="M400" s="317"/>
      <c r="N400" s="323"/>
      <c r="O400" s="323"/>
      <c r="P400" s="481">
        <f>+P395</f>
        <v>222.03625643835619</v>
      </c>
      <c r="Q400" s="322"/>
      <c r="R400" s="327">
        <f t="shared" si="349"/>
        <v>63.43893041095891</v>
      </c>
      <c r="S400" s="322"/>
      <c r="T400" s="319">
        <f t="shared" si="350"/>
        <v>5328.8701545205486</v>
      </c>
      <c r="U400" s="317"/>
      <c r="V400" s="319">
        <f t="shared" si="351"/>
        <v>1522.5343298630139</v>
      </c>
      <c r="W400" s="320"/>
      <c r="X400" s="337">
        <f t="shared" si="352"/>
        <v>5.6667010191755872E-4</v>
      </c>
      <c r="Y400" s="167"/>
      <c r="Z400" s="326">
        <f t="shared" si="353"/>
        <v>8.2105274549021975E-4</v>
      </c>
      <c r="AA400" s="636">
        <v>0.16666666666666666</v>
      </c>
      <c r="AB400" s="638">
        <f t="shared" si="354"/>
        <v>253.75572164383564</v>
      </c>
      <c r="AC400" s="636">
        <f t="shared" si="355"/>
        <v>0.83333333333333337</v>
      </c>
      <c r="AD400" s="292">
        <f t="shared" si="356"/>
        <v>1268.7786082191783</v>
      </c>
      <c r="AE400" s="607" t="s">
        <v>99</v>
      </c>
      <c r="AF400" s="211"/>
    </row>
    <row r="401" spans="1:32" s="112" customFormat="1" ht="15" customHeight="1" x14ac:dyDescent="0.25">
      <c r="B401" s="178" t="s">
        <v>418</v>
      </c>
      <c r="C401" s="318"/>
      <c r="D401" s="193" t="s">
        <v>50</v>
      </c>
      <c r="E401" s="100"/>
      <c r="F401" s="481">
        <v>1</v>
      </c>
      <c r="G401" s="94"/>
      <c r="H401" s="193" t="s">
        <v>51</v>
      </c>
      <c r="I401" s="100"/>
      <c r="J401" s="321">
        <v>6</v>
      </c>
      <c r="K401" s="164"/>
      <c r="L401" s="193"/>
      <c r="M401" s="317"/>
      <c r="N401" s="323"/>
      <c r="O401" s="323"/>
      <c r="P401" s="481">
        <f>+P396</f>
        <v>383.56164383561645</v>
      </c>
      <c r="Q401" s="322"/>
      <c r="R401" s="327">
        <f t="shared" si="349"/>
        <v>109.58904109589041</v>
      </c>
      <c r="S401" s="322"/>
      <c r="T401" s="319">
        <f t="shared" si="350"/>
        <v>2301.3698630136987</v>
      </c>
      <c r="U401" s="317"/>
      <c r="V401" s="319">
        <f t="shared" si="351"/>
        <v>657.53424657534254</v>
      </c>
      <c r="W401" s="320"/>
      <c r="X401" s="337">
        <f t="shared" si="352"/>
        <v>2.4472682895410226E-4</v>
      </c>
      <c r="Y401" s="167"/>
      <c r="Z401" s="326">
        <f t="shared" si="353"/>
        <v>3.5458661773038745E-4</v>
      </c>
      <c r="AA401" s="636">
        <v>0.16666666666666666</v>
      </c>
      <c r="AB401" s="638">
        <f t="shared" si="354"/>
        <v>109.58904109589042</v>
      </c>
      <c r="AC401" s="636">
        <f t="shared" si="355"/>
        <v>0.83333333333333337</v>
      </c>
      <c r="AD401" s="292">
        <f t="shared" si="356"/>
        <v>547.94520547945217</v>
      </c>
      <c r="AE401" s="607" t="s">
        <v>99</v>
      </c>
      <c r="AF401" s="211"/>
    </row>
    <row r="402" spans="1:32" s="112" customFormat="1" ht="15" customHeight="1" x14ac:dyDescent="0.25">
      <c r="B402" s="178" t="s">
        <v>485</v>
      </c>
      <c r="C402" s="318"/>
      <c r="D402" s="193" t="s">
        <v>50</v>
      </c>
      <c r="E402" s="100"/>
      <c r="F402" s="481">
        <v>1</v>
      </c>
      <c r="G402" s="94"/>
      <c r="H402" s="193" t="s">
        <v>51</v>
      </c>
      <c r="I402" s="100"/>
      <c r="J402" s="321">
        <v>6</v>
      </c>
      <c r="K402" s="164"/>
      <c r="L402" s="193"/>
      <c r="M402" s="100"/>
      <c r="N402" s="323"/>
      <c r="O402" s="165"/>
      <c r="P402" s="481">
        <f>+'Staff Detail'!B$43</f>
        <v>1582.1917808219177</v>
      </c>
      <c r="Q402" s="322"/>
      <c r="R402" s="327">
        <f t="shared" si="349"/>
        <v>452.05479452054794</v>
      </c>
      <c r="S402" s="322"/>
      <c r="T402" s="319">
        <f t="shared" si="350"/>
        <v>9493.1506849315065</v>
      </c>
      <c r="U402" s="317"/>
      <c r="V402" s="319">
        <f t="shared" si="351"/>
        <v>2712.3287671232874</v>
      </c>
      <c r="W402" s="320"/>
      <c r="X402" s="337">
        <f t="shared" si="352"/>
        <v>1.0094981694356716E-3</v>
      </c>
      <c r="Y402" s="167"/>
      <c r="Z402" s="326">
        <f t="shared" si="353"/>
        <v>1.4626697981378479E-3</v>
      </c>
      <c r="AA402" s="636">
        <v>0.16666666666666666</v>
      </c>
      <c r="AB402" s="638">
        <f t="shared" si="354"/>
        <v>452.05479452054789</v>
      </c>
      <c r="AC402" s="636">
        <f t="shared" si="355"/>
        <v>0.83333333333333326</v>
      </c>
      <c r="AD402" s="292">
        <f t="shared" si="356"/>
        <v>2260.2739726027394</v>
      </c>
      <c r="AE402" s="607" t="s">
        <v>99</v>
      </c>
      <c r="AF402" s="211"/>
    </row>
    <row r="403" spans="1:32" s="112" customFormat="1" ht="15" customHeight="1" x14ac:dyDescent="0.25">
      <c r="B403" s="178" t="s">
        <v>486</v>
      </c>
      <c r="C403" s="318"/>
      <c r="D403" s="193" t="s">
        <v>50</v>
      </c>
      <c r="E403" s="100"/>
      <c r="F403" s="481">
        <v>1</v>
      </c>
      <c r="G403" s="94"/>
      <c r="H403" s="193" t="s">
        <v>51</v>
      </c>
      <c r="I403" s="100"/>
      <c r="J403" s="321">
        <v>6</v>
      </c>
      <c r="K403" s="164"/>
      <c r="L403" s="193"/>
      <c r="M403" s="100"/>
      <c r="N403" s="323"/>
      <c r="O403" s="165"/>
      <c r="P403" s="481">
        <f>+'Staff Detail'!B$45</f>
        <v>1582.1917808219177</v>
      </c>
      <c r="Q403" s="322"/>
      <c r="R403" s="327">
        <f t="shared" si="349"/>
        <v>452.05479452054794</v>
      </c>
      <c r="S403" s="322"/>
      <c r="T403" s="319">
        <f t="shared" si="350"/>
        <v>9493.1506849315065</v>
      </c>
      <c r="U403" s="317"/>
      <c r="V403" s="319">
        <f t="shared" si="351"/>
        <v>2712.3287671232874</v>
      </c>
      <c r="W403" s="320"/>
      <c r="X403" s="337">
        <f t="shared" si="352"/>
        <v>1.0094981694356716E-3</v>
      </c>
      <c r="Y403" s="167"/>
      <c r="Z403" s="326">
        <f t="shared" si="353"/>
        <v>1.4626697981378479E-3</v>
      </c>
      <c r="AA403" s="636">
        <v>0.16666666666666666</v>
      </c>
      <c r="AB403" s="638">
        <f t="shared" si="354"/>
        <v>452.05479452054789</v>
      </c>
      <c r="AC403" s="636">
        <f t="shared" si="355"/>
        <v>0.83333333333333326</v>
      </c>
      <c r="AD403" s="292">
        <f t="shared" si="356"/>
        <v>2260.2739726027394</v>
      </c>
      <c r="AE403" s="607" t="s">
        <v>99</v>
      </c>
      <c r="AF403" s="211"/>
    </row>
    <row r="404" spans="1:32" s="112" customFormat="1" ht="15" customHeight="1" x14ac:dyDescent="0.25">
      <c r="B404" s="178" t="s">
        <v>17</v>
      </c>
      <c r="C404" s="318"/>
      <c r="D404" s="193" t="s">
        <v>98</v>
      </c>
      <c r="E404" s="317"/>
      <c r="F404" s="606">
        <v>0</v>
      </c>
      <c r="G404" s="317"/>
      <c r="H404" s="193" t="s">
        <v>54</v>
      </c>
      <c r="I404" s="100"/>
      <c r="J404" s="321">
        <v>0</v>
      </c>
      <c r="K404" s="164"/>
      <c r="L404" s="193" t="s">
        <v>51</v>
      </c>
      <c r="M404" s="163"/>
      <c r="N404" s="321">
        <v>1</v>
      </c>
      <c r="O404" s="165"/>
      <c r="P404" s="321">
        <v>0</v>
      </c>
      <c r="Q404" s="322"/>
      <c r="R404" s="327">
        <f t="shared" si="349"/>
        <v>0</v>
      </c>
      <c r="S404" s="322"/>
      <c r="T404" s="319">
        <f t="shared" si="350"/>
        <v>0</v>
      </c>
      <c r="U404" s="317"/>
      <c r="V404" s="319">
        <f t="shared" si="351"/>
        <v>0</v>
      </c>
      <c r="W404" s="320"/>
      <c r="X404" s="337">
        <f t="shared" si="352"/>
        <v>0</v>
      </c>
      <c r="Y404" s="167"/>
      <c r="Z404" s="326">
        <f t="shared" si="353"/>
        <v>0</v>
      </c>
      <c r="AA404" s="636">
        <v>0.16666666666666666</v>
      </c>
      <c r="AB404" s="638">
        <f t="shared" si="354"/>
        <v>0</v>
      </c>
      <c r="AC404" s="636" t="e">
        <f t="shared" si="355"/>
        <v>#DIV/0!</v>
      </c>
      <c r="AD404" s="292">
        <f t="shared" si="356"/>
        <v>0</v>
      </c>
      <c r="AE404" s="611" t="s">
        <v>55</v>
      </c>
      <c r="AF404" s="211"/>
    </row>
    <row r="405" spans="1:32" s="112" customFormat="1" ht="15" customHeight="1" x14ac:dyDescent="0.25">
      <c r="A405" s="112" t="s">
        <v>314</v>
      </c>
      <c r="B405" s="495" t="s">
        <v>96</v>
      </c>
      <c r="C405" s="262"/>
      <c r="D405" s="496"/>
      <c r="E405" s="101"/>
      <c r="F405" s="497"/>
      <c r="G405" s="101"/>
      <c r="H405" s="496"/>
      <c r="I405" s="101"/>
      <c r="J405" s="498"/>
      <c r="K405" s="497"/>
      <c r="L405" s="499"/>
      <c r="M405" s="499"/>
      <c r="N405" s="500"/>
      <c r="O405" s="499"/>
      <c r="P405" s="497"/>
      <c r="Q405" s="497"/>
      <c r="R405" s="497"/>
      <c r="S405" s="497"/>
      <c r="T405" s="501">
        <f>SUM(T401:T404)</f>
        <v>21287.67123287671</v>
      </c>
      <c r="U405" s="262"/>
      <c r="V405" s="501">
        <f>SUM(V401:V404)</f>
        <v>6082.1917808219168</v>
      </c>
      <c r="W405" s="134"/>
      <c r="X405" s="502">
        <f>SUM(X388:X404)</f>
        <v>7.1687709795706777E-3</v>
      </c>
      <c r="Y405" s="469"/>
      <c r="Z405" s="503">
        <f t="shared" si="353"/>
        <v>3.2799262140060827E-3</v>
      </c>
      <c r="AA405" s="635"/>
      <c r="AB405" s="501">
        <f>SUM(AB401:AB404)</f>
        <v>1013.6986301369861</v>
      </c>
      <c r="AC405" s="636"/>
      <c r="AD405" s="501">
        <f>SUM(AD401:AD404)</f>
        <v>5068.4931506849307</v>
      </c>
      <c r="AE405" s="718"/>
      <c r="AF405" s="211"/>
    </row>
    <row r="406" spans="1:32" s="179" customFormat="1" x14ac:dyDescent="0.25">
      <c r="B406" s="177"/>
      <c r="C406" s="317"/>
      <c r="D406" s="324"/>
      <c r="E406" s="317"/>
      <c r="F406" s="322"/>
      <c r="G406" s="317"/>
      <c r="H406" s="324"/>
      <c r="I406" s="100"/>
      <c r="J406" s="162"/>
      <c r="K406" s="164"/>
      <c r="L406" s="323"/>
      <c r="M406" s="323"/>
      <c r="N406" s="166"/>
      <c r="O406" s="323"/>
      <c r="P406" s="322"/>
      <c r="Q406" s="322"/>
      <c r="R406" s="322"/>
      <c r="S406" s="322"/>
      <c r="T406" s="302"/>
      <c r="U406" s="318"/>
      <c r="V406" s="106"/>
      <c r="W406" s="134"/>
      <c r="X406" s="344"/>
      <c r="Y406" s="240"/>
      <c r="Z406" s="326"/>
      <c r="AA406" s="94"/>
      <c r="AB406" s="648"/>
      <c r="AC406" s="94"/>
      <c r="AD406" s="94"/>
      <c r="AE406" s="607"/>
    </row>
    <row r="407" spans="1:32" s="179" customFormat="1" x14ac:dyDescent="0.25">
      <c r="B407" s="177"/>
      <c r="C407" s="317"/>
      <c r="D407" s="324"/>
      <c r="E407" s="317"/>
      <c r="F407" s="322"/>
      <c r="G407" s="317"/>
      <c r="H407" s="324"/>
      <c r="I407" s="100"/>
      <c r="J407" s="162"/>
      <c r="K407" s="164"/>
      <c r="L407" s="323"/>
      <c r="M407" s="323"/>
      <c r="N407" s="166"/>
      <c r="O407" s="323"/>
      <c r="P407" s="322"/>
      <c r="Q407" s="322"/>
      <c r="R407" s="322"/>
      <c r="S407" s="322"/>
      <c r="T407" s="302"/>
      <c r="U407" s="318"/>
      <c r="V407" s="106"/>
      <c r="W407" s="134"/>
      <c r="X407" s="344"/>
      <c r="Y407" s="240"/>
      <c r="Z407" s="326"/>
      <c r="AA407" s="94"/>
      <c r="AB407" s="648"/>
      <c r="AC407" s="94"/>
      <c r="AD407" s="94"/>
      <c r="AE407" s="607"/>
    </row>
    <row r="408" spans="1:32" s="112" customFormat="1" ht="15.75" thickBot="1" x14ac:dyDescent="0.3">
      <c r="B408" s="547" t="s">
        <v>534</v>
      </c>
      <c r="C408" s="317"/>
      <c r="D408" s="324"/>
      <c r="E408" s="317"/>
      <c r="F408" s="322"/>
      <c r="G408" s="317"/>
      <c r="H408" s="324"/>
      <c r="I408" s="317"/>
      <c r="J408" s="322"/>
      <c r="K408" s="322"/>
      <c r="L408" s="323"/>
      <c r="M408" s="323"/>
      <c r="N408" s="323"/>
      <c r="O408" s="323"/>
      <c r="P408" s="322"/>
      <c r="Q408" s="322"/>
      <c r="R408" s="322"/>
      <c r="S408" s="322"/>
      <c r="T408" s="544">
        <f>+T384+T373+T356+T405</f>
        <v>846514.37821623124</v>
      </c>
      <c r="U408" s="318"/>
      <c r="V408" s="544">
        <f>+V384+V373+V356+V405</f>
        <v>241861.25091892327</v>
      </c>
      <c r="W408" s="134"/>
      <c r="X408" s="696">
        <f>+X384+X373+X356+X405</f>
        <v>9.4923076975308135E-2</v>
      </c>
      <c r="Y408" s="297"/>
      <c r="Z408" s="544">
        <f>+Z384+Z373+Z356+Z405</f>
        <v>0.1304278269459761</v>
      </c>
      <c r="AA408" s="317"/>
      <c r="AB408" s="544">
        <f>+AB384+AB373+AB356+AB405</f>
        <v>2985.8793146771031</v>
      </c>
      <c r="AC408" s="317"/>
      <c r="AD408" s="544">
        <f>+AD384+AD373+AD356+AD405</f>
        <v>238875.37160424615</v>
      </c>
      <c r="AE408" s="607"/>
    </row>
    <row r="409" spans="1:32" s="179" customFormat="1" x14ac:dyDescent="0.25">
      <c r="B409" s="177"/>
      <c r="C409" s="317"/>
      <c r="D409" s="324"/>
      <c r="E409" s="317"/>
      <c r="F409" s="322"/>
      <c r="G409" s="317"/>
      <c r="H409" s="324"/>
      <c r="I409" s="100"/>
      <c r="J409" s="162"/>
      <c r="K409" s="164"/>
      <c r="L409" s="323"/>
      <c r="M409" s="323"/>
      <c r="N409" s="166"/>
      <c r="O409" s="323"/>
      <c r="P409" s="322"/>
      <c r="Q409" s="322"/>
      <c r="R409" s="322"/>
      <c r="S409" s="322"/>
      <c r="T409" s="302"/>
      <c r="U409" s="318"/>
      <c r="V409" s="106"/>
      <c r="W409" s="134"/>
      <c r="X409" s="344"/>
      <c r="Y409" s="240"/>
      <c r="Z409" s="326"/>
      <c r="AA409" s="94"/>
      <c r="AB409" s="648"/>
      <c r="AC409" s="94"/>
      <c r="AD409" s="94"/>
      <c r="AE409" s="607"/>
    </row>
    <row r="410" spans="1:32" x14ac:dyDescent="0.25">
      <c r="B410" s="177"/>
      <c r="C410" s="80"/>
      <c r="D410" s="155"/>
      <c r="E410" s="80"/>
      <c r="F410" s="145"/>
      <c r="G410" s="80"/>
      <c r="H410" s="155"/>
      <c r="I410" s="80"/>
      <c r="J410" s="145"/>
      <c r="K410" s="145"/>
      <c r="L410" s="147"/>
      <c r="M410" s="147"/>
      <c r="N410" s="147"/>
      <c r="O410" s="147"/>
      <c r="P410" s="145"/>
      <c r="Q410" s="191"/>
      <c r="R410" s="191"/>
      <c r="S410" s="145"/>
      <c r="T410" s="106"/>
      <c r="U410" s="80"/>
      <c r="V410" s="106"/>
      <c r="W410" s="109"/>
      <c r="X410" s="343"/>
      <c r="Y410" s="119"/>
      <c r="Z410" s="119"/>
      <c r="AA410" s="80"/>
      <c r="AB410" s="647"/>
      <c r="AC410" s="317"/>
      <c r="AD410" s="317"/>
      <c r="AE410" s="607"/>
    </row>
    <row r="411" spans="1:32" x14ac:dyDescent="0.25">
      <c r="B411" s="215" t="s">
        <v>56</v>
      </c>
      <c r="C411" s="249"/>
      <c r="D411" s="248"/>
      <c r="E411" s="249"/>
      <c r="F411" s="250"/>
      <c r="G411" s="249"/>
      <c r="H411" s="248"/>
      <c r="I411" s="249"/>
      <c r="J411" s="250"/>
      <c r="K411" s="250"/>
      <c r="L411" s="251"/>
      <c r="M411" s="251"/>
      <c r="N411" s="251"/>
      <c r="O411" s="251"/>
      <c r="P411" s="250"/>
      <c r="Q411" s="250"/>
      <c r="R411" s="250"/>
      <c r="S411" s="250"/>
      <c r="T411" s="252"/>
      <c r="U411" s="249"/>
      <c r="V411" s="252"/>
      <c r="W411" s="252"/>
      <c r="X411" s="346"/>
      <c r="Y411" s="253"/>
      <c r="Z411" s="253"/>
      <c r="AA411" s="249"/>
      <c r="AB411" s="652"/>
      <c r="AC411" s="249"/>
      <c r="AD411" s="249"/>
      <c r="AE411" s="722"/>
    </row>
    <row r="412" spans="1:32" x14ac:dyDescent="0.25">
      <c r="B412" s="194" t="s">
        <v>525</v>
      </c>
      <c r="C412" s="80"/>
      <c r="D412" s="155"/>
      <c r="E412" s="80"/>
      <c r="F412" s="145"/>
      <c r="G412" s="80"/>
      <c r="H412" s="155"/>
      <c r="I412" s="80"/>
      <c r="J412" s="145"/>
      <c r="K412" s="145"/>
      <c r="L412" s="147"/>
      <c r="M412" s="147"/>
      <c r="N412" s="147"/>
      <c r="O412" s="147"/>
      <c r="P412" s="145"/>
      <c r="Q412" s="191"/>
      <c r="R412" s="191"/>
      <c r="S412" s="145"/>
      <c r="T412" s="98"/>
      <c r="U412" s="80"/>
      <c r="V412" s="98"/>
      <c r="W412" s="110"/>
      <c r="X412" s="345"/>
      <c r="Y412" s="118"/>
      <c r="Z412" s="118"/>
      <c r="AA412" s="80"/>
      <c r="AB412" s="647"/>
      <c r="AC412" s="317"/>
      <c r="AD412" s="317"/>
      <c r="AE412" s="607"/>
    </row>
    <row r="413" spans="1:32" s="112" customFormat="1" ht="15" customHeight="1" x14ac:dyDescent="0.25">
      <c r="B413" s="186" t="s">
        <v>57</v>
      </c>
      <c r="C413" s="84"/>
      <c r="D413" s="155"/>
      <c r="E413" s="180"/>
      <c r="F413" s="191"/>
      <c r="G413" s="180"/>
      <c r="H413" s="155"/>
      <c r="I413" s="180"/>
      <c r="J413" s="191"/>
      <c r="K413" s="191"/>
      <c r="L413" s="192"/>
      <c r="M413" s="192"/>
      <c r="N413" s="192"/>
      <c r="O413" s="192"/>
      <c r="P413" s="191"/>
      <c r="Q413" s="191"/>
      <c r="R413" s="191"/>
      <c r="S413" s="191"/>
      <c r="T413" s="98"/>
      <c r="U413" s="180"/>
      <c r="V413" s="98"/>
      <c r="W413" s="110"/>
      <c r="X413" s="345"/>
      <c r="Y413" s="118"/>
      <c r="Z413" s="119"/>
      <c r="AA413" s="180"/>
      <c r="AB413" s="647"/>
      <c r="AC413" s="317"/>
      <c r="AD413" s="317"/>
      <c r="AE413" s="607"/>
      <c r="AF413" s="211"/>
    </row>
    <row r="414" spans="1:32" s="112" customFormat="1" ht="15" customHeight="1" x14ac:dyDescent="0.25">
      <c r="B414" s="186"/>
      <c r="C414" s="318"/>
      <c r="D414" s="324"/>
      <c r="E414" s="100"/>
      <c r="F414" s="322"/>
      <c r="G414" s="94"/>
      <c r="H414" s="324"/>
      <c r="I414" s="100"/>
      <c r="J414" s="322"/>
      <c r="K414" s="164"/>
      <c r="L414" s="323"/>
      <c r="M414" s="323"/>
      <c r="N414" s="323"/>
      <c r="O414" s="323"/>
      <c r="P414" s="322"/>
      <c r="Q414" s="322"/>
      <c r="R414" s="322"/>
      <c r="S414" s="322"/>
      <c r="T414" s="98"/>
      <c r="U414" s="317"/>
      <c r="V414" s="98"/>
      <c r="W414" s="110"/>
      <c r="X414" s="345"/>
      <c r="Y414" s="663"/>
      <c r="Z414" s="120"/>
      <c r="AA414" s="317"/>
      <c r="AB414" s="647"/>
      <c r="AC414" s="317"/>
      <c r="AD414" s="317"/>
      <c r="AE414" s="607"/>
      <c r="AF414" s="211"/>
    </row>
    <row r="415" spans="1:32" s="112" customFormat="1" ht="15" customHeight="1" x14ac:dyDescent="0.25">
      <c r="B415" s="177" t="s">
        <v>539</v>
      </c>
      <c r="C415" s="318"/>
      <c r="D415" s="324"/>
      <c r="E415" s="100"/>
      <c r="F415" s="322"/>
      <c r="G415" s="94"/>
      <c r="H415" s="324"/>
      <c r="I415" s="100"/>
      <c r="J415" s="322"/>
      <c r="K415" s="164"/>
      <c r="L415" s="323"/>
      <c r="M415" s="323"/>
      <c r="N415" s="323"/>
      <c r="O415" s="323"/>
      <c r="P415" s="322"/>
      <c r="Q415" s="322"/>
      <c r="R415" s="322"/>
      <c r="S415" s="322"/>
      <c r="T415" s="98"/>
      <c r="U415" s="317"/>
      <c r="V415" s="98"/>
      <c r="W415" s="110"/>
      <c r="X415" s="345"/>
      <c r="Y415" s="663"/>
      <c r="Z415" s="120"/>
      <c r="AA415" s="317"/>
      <c r="AB415" s="647"/>
      <c r="AC415" s="317"/>
      <c r="AD415" s="317"/>
      <c r="AE415" s="607"/>
      <c r="AF415" s="211"/>
    </row>
    <row r="416" spans="1:32" s="595" customFormat="1" ht="15" customHeight="1" x14ac:dyDescent="0.25">
      <c r="B416" s="178" t="s">
        <v>408</v>
      </c>
      <c r="C416" s="478"/>
      <c r="D416" s="479" t="s">
        <v>50</v>
      </c>
      <c r="E416" s="482"/>
      <c r="F416" s="481">
        <v>9270</v>
      </c>
      <c r="G416" s="659"/>
      <c r="H416" s="479" t="s">
        <v>51</v>
      </c>
      <c r="I416" s="482"/>
      <c r="J416" s="481">
        <v>0</v>
      </c>
      <c r="K416" s="541"/>
      <c r="L416" s="479"/>
      <c r="M416" s="480"/>
      <c r="N416" s="478"/>
      <c r="O416" s="478"/>
      <c r="P416" s="481">
        <v>0</v>
      </c>
      <c r="Q416" s="483"/>
      <c r="R416" s="484">
        <f t="shared" ref="R416" si="357">P416/$V$6</f>
        <v>0</v>
      </c>
      <c r="S416" s="483"/>
      <c r="T416" s="485">
        <f t="shared" ref="T416" si="358">IF(N416=0,IF(J416=0,F416*P416,F416*J416*P416),F416*J416*N416*P416)</f>
        <v>0</v>
      </c>
      <c r="U416" s="480"/>
      <c r="V416" s="485">
        <f t="shared" ref="V416:V422" si="359">T416/$V$6</f>
        <v>0</v>
      </c>
      <c r="W416" s="486"/>
      <c r="X416" s="487">
        <f t="shared" ref="X416" si="360">V416/$V$3</f>
        <v>0</v>
      </c>
      <c r="Y416" s="488"/>
      <c r="Z416" s="489">
        <f t="shared" ref="Z416:Z423" si="361">V416/$V$601</f>
        <v>0</v>
      </c>
      <c r="AA416" s="662">
        <v>0.16666666666666666</v>
      </c>
      <c r="AB416" s="661">
        <f t="shared" ref="AB416:AB422" si="362">+W416+V416*AA416</f>
        <v>0</v>
      </c>
      <c r="AC416" s="662" t="e">
        <f t="shared" ref="AC416:AC422" si="363">+AD416/V416</f>
        <v>#DIV/0!</v>
      </c>
      <c r="AD416" s="483">
        <f t="shared" ref="AD416:AD422" si="364">+V416-AB416</f>
        <v>0</v>
      </c>
      <c r="AE416" s="607" t="s">
        <v>99</v>
      </c>
      <c r="AF416" s="610"/>
    </row>
    <row r="417" spans="1:32" s="595" customFormat="1" ht="15" customHeight="1" x14ac:dyDescent="0.25">
      <c r="B417" s="178" t="s">
        <v>140</v>
      </c>
      <c r="C417" s="478"/>
      <c r="D417" s="479" t="s">
        <v>50</v>
      </c>
      <c r="E417" s="482"/>
      <c r="F417" s="481">
        <v>3</v>
      </c>
      <c r="G417" s="659"/>
      <c r="H417" s="479" t="s">
        <v>51</v>
      </c>
      <c r="I417" s="482"/>
      <c r="J417" s="481">
        <v>36</v>
      </c>
      <c r="K417" s="541"/>
      <c r="L417" s="479"/>
      <c r="M417" s="480"/>
      <c r="N417" s="478"/>
      <c r="O417" s="478"/>
      <c r="P417" s="481">
        <f>+'Staff Detail'!B20</f>
        <v>128.1</v>
      </c>
      <c r="Q417" s="483"/>
      <c r="R417" s="484">
        <f>P417/$V$6</f>
        <v>36.6</v>
      </c>
      <c r="S417" s="483"/>
      <c r="T417" s="485">
        <f>IF(N417=0,IF(J417=0,F417*P417,F417*J417*P417),F417*J417*N417*P417)</f>
        <v>13834.8</v>
      </c>
      <c r="U417" s="480"/>
      <c r="V417" s="485">
        <f t="shared" si="359"/>
        <v>3952.7999999999997</v>
      </c>
      <c r="W417" s="486"/>
      <c r="X417" s="487">
        <f>V417/$V$3</f>
        <v>1.4711875685990332E-3</v>
      </c>
      <c r="Y417" s="488"/>
      <c r="Z417" s="489">
        <f t="shared" si="361"/>
        <v>2.1316151818171103E-3</v>
      </c>
      <c r="AA417" s="662">
        <v>0.16666666666666666</v>
      </c>
      <c r="AB417" s="661">
        <f t="shared" si="362"/>
        <v>658.8</v>
      </c>
      <c r="AC417" s="662">
        <f t="shared" si="363"/>
        <v>0.83333333333333337</v>
      </c>
      <c r="AD417" s="483">
        <f t="shared" si="364"/>
        <v>3294</v>
      </c>
      <c r="AE417" s="607" t="s">
        <v>99</v>
      </c>
      <c r="AF417" s="610"/>
    </row>
    <row r="418" spans="1:32" s="595" customFormat="1" ht="15" customHeight="1" x14ac:dyDescent="0.25">
      <c r="B418" s="178" t="s">
        <v>496</v>
      </c>
      <c r="C418" s="478"/>
      <c r="D418" s="479" t="s">
        <v>50</v>
      </c>
      <c r="E418" s="480"/>
      <c r="F418" s="694">
        <v>3</v>
      </c>
      <c r="G418" s="480"/>
      <c r="H418" s="479" t="s">
        <v>51</v>
      </c>
      <c r="I418" s="480"/>
      <c r="J418" s="481">
        <v>36</v>
      </c>
      <c r="K418" s="483"/>
      <c r="L418" s="478"/>
      <c r="M418" s="480"/>
      <c r="N418" s="478"/>
      <c r="O418" s="478"/>
      <c r="P418" s="481">
        <f>+'Staff Detail'!B21</f>
        <v>119.56</v>
      </c>
      <c r="Q418" s="483"/>
      <c r="R418" s="484">
        <f t="shared" ref="R418:R422" si="365">P418/$V$6</f>
        <v>34.160000000000004</v>
      </c>
      <c r="S418" s="483"/>
      <c r="T418" s="485">
        <f t="shared" ref="T418:T422" si="366">IF(N418=0,IF(J418=0,F418*P418,F418*J418*P418),F418*J418*N418*P418)</f>
        <v>12912.48</v>
      </c>
      <c r="U418" s="480"/>
      <c r="V418" s="485">
        <f t="shared" si="359"/>
        <v>3689.2799999999997</v>
      </c>
      <c r="W418" s="486"/>
      <c r="X418" s="487">
        <f t="shared" ref="X418:X422" si="367">V418/$V$3</f>
        <v>1.3731083973590977E-3</v>
      </c>
      <c r="Y418" s="488"/>
      <c r="Z418" s="489">
        <f t="shared" si="361"/>
        <v>1.9895075030293028E-3</v>
      </c>
      <c r="AA418" s="662">
        <v>0.16666666666666666</v>
      </c>
      <c r="AB418" s="661">
        <f t="shared" si="362"/>
        <v>614.87999999999988</v>
      </c>
      <c r="AC418" s="662">
        <f t="shared" si="363"/>
        <v>0.83333333333333326</v>
      </c>
      <c r="AD418" s="483">
        <f t="shared" si="364"/>
        <v>3074.3999999999996</v>
      </c>
      <c r="AE418" s="607" t="s">
        <v>52</v>
      </c>
      <c r="AF418" s="610"/>
    </row>
    <row r="419" spans="1:32" s="595" customFormat="1" ht="15" customHeight="1" x14ac:dyDescent="0.25">
      <c r="B419" s="178" t="s">
        <v>459</v>
      </c>
      <c r="C419" s="478"/>
      <c r="D419" s="479" t="s">
        <v>50</v>
      </c>
      <c r="E419" s="480"/>
      <c r="F419" s="694">
        <v>208</v>
      </c>
      <c r="G419" s="480"/>
      <c r="H419" s="479" t="s">
        <v>51</v>
      </c>
      <c r="I419" s="480"/>
      <c r="J419" s="481">
        <v>36</v>
      </c>
      <c r="K419" s="483"/>
      <c r="L419" s="478"/>
      <c r="M419" s="480"/>
      <c r="N419" s="478"/>
      <c r="O419" s="478"/>
      <c r="P419" s="481">
        <v>30</v>
      </c>
      <c r="Q419" s="483"/>
      <c r="R419" s="484">
        <f t="shared" si="365"/>
        <v>8.5714285714285712</v>
      </c>
      <c r="S419" s="483"/>
      <c r="T419" s="485">
        <f t="shared" si="366"/>
        <v>224640</v>
      </c>
      <c r="U419" s="480"/>
      <c r="V419" s="485">
        <f t="shared" si="359"/>
        <v>64182.857142857145</v>
      </c>
      <c r="W419" s="486"/>
      <c r="X419" s="487">
        <f t="shared" si="367"/>
        <v>2.3888135383965569E-2</v>
      </c>
      <c r="Y419" s="488"/>
      <c r="Z419" s="489">
        <f t="shared" si="361"/>
        <v>3.4611706308974158E-2</v>
      </c>
      <c r="AA419" s="662">
        <v>0.16666666666666666</v>
      </c>
      <c r="AB419" s="661">
        <f t="shared" si="362"/>
        <v>10697.142857142857</v>
      </c>
      <c r="AC419" s="662">
        <f t="shared" si="363"/>
        <v>0.83333333333333337</v>
      </c>
      <c r="AD419" s="483">
        <f t="shared" si="364"/>
        <v>53485.71428571429</v>
      </c>
      <c r="AE419" s="607" t="s">
        <v>52</v>
      </c>
      <c r="AF419" s="610"/>
    </row>
    <row r="420" spans="1:32" s="595" customFormat="1" ht="15" customHeight="1" x14ac:dyDescent="0.25">
      <c r="B420" s="178" t="s">
        <v>240</v>
      </c>
      <c r="C420" s="478"/>
      <c r="D420" s="479" t="s">
        <v>50</v>
      </c>
      <c r="E420" s="480"/>
      <c r="F420" s="694">
        <v>3</v>
      </c>
      <c r="G420" s="480"/>
      <c r="H420" s="479" t="s">
        <v>51</v>
      </c>
      <c r="I420" s="480"/>
      <c r="J420" s="821">
        <f>+J418*0.05</f>
        <v>1.8</v>
      </c>
      <c r="K420" s="483"/>
      <c r="L420" s="478"/>
      <c r="M420" s="480"/>
      <c r="N420" s="478"/>
      <c r="O420" s="478"/>
      <c r="P420" s="481">
        <f>+'Staff Detail'!B10+'Staff Detail'!B16</f>
        <v>179.34</v>
      </c>
      <c r="Q420" s="483"/>
      <c r="R420" s="484">
        <f t="shared" si="365"/>
        <v>51.24</v>
      </c>
      <c r="S420" s="483"/>
      <c r="T420" s="485">
        <f t="shared" si="366"/>
        <v>968.43600000000004</v>
      </c>
      <c r="U420" s="480"/>
      <c r="V420" s="485">
        <f t="shared" ref="V420" si="368">T420/$V$6</f>
        <v>276.69600000000003</v>
      </c>
      <c r="W420" s="486"/>
      <c r="X420" s="487">
        <f t="shared" ref="X420" si="369">V420/$V$3</f>
        <v>1.0298312980193235E-4</v>
      </c>
      <c r="Y420" s="488"/>
      <c r="Z420" s="489">
        <f t="shared" si="361"/>
        <v>1.4921306272719774E-4</v>
      </c>
      <c r="AA420" s="662">
        <v>0.16666666666666666</v>
      </c>
      <c r="AB420" s="661">
        <f t="shared" si="362"/>
        <v>46.116</v>
      </c>
      <c r="AC420" s="662">
        <f t="shared" ref="AC420" si="370">+AD420/V420</f>
        <v>0.83333333333333337</v>
      </c>
      <c r="AD420" s="483">
        <f t="shared" si="364"/>
        <v>230.58000000000004</v>
      </c>
      <c r="AE420" s="607" t="s">
        <v>52</v>
      </c>
      <c r="AF420" s="610"/>
    </row>
    <row r="421" spans="1:32" s="612" customFormat="1" ht="15" customHeight="1" x14ac:dyDescent="0.25">
      <c r="B421" s="178" t="s">
        <v>300</v>
      </c>
      <c r="C421" s="480"/>
      <c r="D421" s="479" t="s">
        <v>101</v>
      </c>
      <c r="E421" s="480"/>
      <c r="F421" s="694">
        <v>6</v>
      </c>
      <c r="G421" s="480"/>
      <c r="H421" s="479" t="s">
        <v>51</v>
      </c>
      <c r="I421" s="480"/>
      <c r="J421" s="481">
        <v>36</v>
      </c>
      <c r="K421" s="480"/>
      <c r="L421" s="478"/>
      <c r="M421" s="480"/>
      <c r="N421" s="478"/>
      <c r="O421" s="478"/>
      <c r="P421" s="481">
        <f>'Staff Detail'!B50</f>
        <v>75</v>
      </c>
      <c r="Q421" s="483"/>
      <c r="R421" s="484">
        <f t="shared" si="365"/>
        <v>21.428571428571427</v>
      </c>
      <c r="S421" s="483"/>
      <c r="T421" s="485">
        <f>IF(N421=0,IF(J421=0,F421*P421,F421*J421*P421),F421*J421*N421*P421)</f>
        <v>16200</v>
      </c>
      <c r="U421" s="480"/>
      <c r="V421" s="485">
        <f t="shared" si="359"/>
        <v>4628.5714285714284</v>
      </c>
      <c r="W421" s="486"/>
      <c r="X421" s="487">
        <f t="shared" si="367"/>
        <v>1.7227020709590553E-3</v>
      </c>
      <c r="Y421" s="488"/>
      <c r="Z421" s="489">
        <f t="shared" si="361"/>
        <v>2.4960365126664055E-3</v>
      </c>
      <c r="AA421" s="662">
        <v>0.16666666666666666</v>
      </c>
      <c r="AB421" s="661">
        <f t="shared" si="362"/>
        <v>771.42857142857133</v>
      </c>
      <c r="AC421" s="662">
        <f t="shared" si="363"/>
        <v>0.83333333333333326</v>
      </c>
      <c r="AD421" s="483">
        <f t="shared" si="364"/>
        <v>3857.1428571428569</v>
      </c>
      <c r="AE421" s="607" t="s">
        <v>53</v>
      </c>
    </row>
    <row r="422" spans="1:32" s="595" customFormat="1" ht="15" customHeight="1" x14ac:dyDescent="0.25">
      <c r="B422" s="178" t="s">
        <v>17</v>
      </c>
      <c r="C422" s="478"/>
      <c r="D422" s="479" t="s">
        <v>98</v>
      </c>
      <c r="E422" s="482"/>
      <c r="F422" s="694">
        <v>3</v>
      </c>
      <c r="G422" s="659"/>
      <c r="H422" s="479" t="s">
        <v>54</v>
      </c>
      <c r="I422" s="482"/>
      <c r="J422" s="481">
        <v>45</v>
      </c>
      <c r="K422" s="541"/>
      <c r="L422" s="479" t="s">
        <v>51</v>
      </c>
      <c r="M422" s="478"/>
      <c r="N422" s="481">
        <v>12</v>
      </c>
      <c r="O422" s="478"/>
      <c r="P422" s="481">
        <v>3.3</v>
      </c>
      <c r="Q422" s="483"/>
      <c r="R422" s="484">
        <f t="shared" si="365"/>
        <v>0.94285714285714284</v>
      </c>
      <c r="S422" s="483"/>
      <c r="T422" s="485">
        <f t="shared" si="366"/>
        <v>5346</v>
      </c>
      <c r="U422" s="480"/>
      <c r="V422" s="485">
        <f t="shared" si="359"/>
        <v>1527.4285714285713</v>
      </c>
      <c r="W422" s="486"/>
      <c r="X422" s="487">
        <f t="shared" si="367"/>
        <v>5.6849168341648818E-4</v>
      </c>
      <c r="Y422" s="488"/>
      <c r="Z422" s="489">
        <f t="shared" si="361"/>
        <v>8.2369204917991383E-4</v>
      </c>
      <c r="AA422" s="662">
        <v>0.16666666666666666</v>
      </c>
      <c r="AB422" s="661">
        <f t="shared" si="362"/>
        <v>254.57142857142856</v>
      </c>
      <c r="AC422" s="662">
        <f t="shared" si="363"/>
        <v>0.83333333333333326</v>
      </c>
      <c r="AD422" s="483">
        <f t="shared" si="364"/>
        <v>1272.8571428571427</v>
      </c>
      <c r="AE422" s="611" t="s">
        <v>55</v>
      </c>
      <c r="AF422" s="610"/>
    </row>
    <row r="423" spans="1:32" s="112" customFormat="1" ht="15" customHeight="1" thickBot="1" x14ac:dyDescent="0.3">
      <c r="A423" s="112" t="s">
        <v>318</v>
      </c>
      <c r="B423" s="190" t="s">
        <v>59</v>
      </c>
      <c r="C423" s="84"/>
      <c r="D423" s="193"/>
      <c r="E423" s="180"/>
      <c r="F423" s="191"/>
      <c r="G423" s="180"/>
      <c r="H423" s="155"/>
      <c r="I423" s="180"/>
      <c r="J423" s="191"/>
      <c r="K423" s="191"/>
      <c r="L423" s="192"/>
      <c r="M423" s="192"/>
      <c r="N423" s="192"/>
      <c r="O423" s="192"/>
      <c r="P423" s="191"/>
      <c r="Q423" s="191"/>
      <c r="R423" s="191"/>
      <c r="S423" s="191"/>
      <c r="T423" s="130">
        <f>SUM(T416:T422)</f>
        <v>273901.71600000001</v>
      </c>
      <c r="U423" s="131"/>
      <c r="V423" s="130">
        <f>SUM(V416:V422)</f>
        <v>78257.633142857143</v>
      </c>
      <c r="W423" s="132"/>
      <c r="X423" s="347">
        <f>SUM(X418:X422)</f>
        <v>2.7655420665502143E-2</v>
      </c>
      <c r="Y423" s="159"/>
      <c r="Z423" s="285">
        <f t="shared" si="361"/>
        <v>4.2201770618394085E-2</v>
      </c>
      <c r="AA423" s="180"/>
      <c r="AB423" s="130">
        <f>SUM(AB416:AB422)</f>
        <v>13042.938857142857</v>
      </c>
      <c r="AC423" s="317"/>
      <c r="AD423" s="130">
        <f>SUM(AD416:AD422)</f>
        <v>65214.694285714293</v>
      </c>
      <c r="AE423" s="607"/>
      <c r="AF423" s="211"/>
    </row>
    <row r="424" spans="1:32" x14ac:dyDescent="0.25">
      <c r="B424" s="178"/>
      <c r="C424" s="80"/>
      <c r="D424" s="154"/>
      <c r="E424" s="80"/>
      <c r="F424" s="145"/>
      <c r="G424" s="80"/>
      <c r="H424" s="155"/>
      <c r="I424" s="80"/>
      <c r="J424" s="145"/>
      <c r="K424" s="145"/>
      <c r="L424" s="147"/>
      <c r="M424" s="147"/>
      <c r="N424" s="147"/>
      <c r="O424" s="147"/>
      <c r="P424" s="145"/>
      <c r="Q424" s="191"/>
      <c r="R424" s="191"/>
      <c r="S424" s="145"/>
      <c r="T424" s="88"/>
      <c r="U424" s="80"/>
      <c r="V424" s="88"/>
      <c r="W424" s="91"/>
      <c r="X424" s="337"/>
      <c r="Y424" s="116"/>
      <c r="Z424" s="118"/>
      <c r="AA424" s="80"/>
      <c r="AB424" s="647"/>
      <c r="AC424" s="317"/>
      <c r="AD424" s="317"/>
      <c r="AE424" s="611"/>
    </row>
    <row r="425" spans="1:32" s="112" customFormat="1" ht="15" customHeight="1" x14ac:dyDescent="0.25">
      <c r="B425" s="187" t="s">
        <v>528</v>
      </c>
      <c r="C425" s="318"/>
      <c r="D425" s="324"/>
      <c r="E425" s="317"/>
      <c r="F425" s="322"/>
      <c r="G425" s="317"/>
      <c r="H425" s="324"/>
      <c r="I425" s="317"/>
      <c r="J425" s="322"/>
      <c r="K425" s="322"/>
      <c r="L425" s="323"/>
      <c r="M425" s="323"/>
      <c r="N425" s="323"/>
      <c r="O425" s="323"/>
      <c r="P425" s="322"/>
      <c r="Q425" s="322"/>
      <c r="R425" s="322"/>
      <c r="S425" s="322"/>
      <c r="T425" s="320"/>
      <c r="U425" s="317"/>
      <c r="V425" s="320"/>
      <c r="W425" s="320"/>
      <c r="X425" s="349"/>
      <c r="Y425" s="477"/>
      <c r="Z425" s="290"/>
      <c r="AA425" s="94"/>
      <c r="AB425" s="648"/>
      <c r="AC425" s="94"/>
      <c r="AD425" s="94"/>
      <c r="AE425" s="607"/>
      <c r="AF425" s="211"/>
    </row>
    <row r="426" spans="1:32" s="112" customFormat="1" ht="15" customHeight="1" x14ac:dyDescent="0.25">
      <c r="B426" s="325" t="s">
        <v>306</v>
      </c>
      <c r="C426" s="318"/>
      <c r="D426" s="324" t="s">
        <v>60</v>
      </c>
      <c r="E426" s="317"/>
      <c r="F426" s="322">
        <f>+F416</f>
        <v>9270</v>
      </c>
      <c r="G426" s="317"/>
      <c r="H426" s="324"/>
      <c r="I426" s="317"/>
      <c r="J426" s="162"/>
      <c r="K426" s="322"/>
      <c r="L426" s="323"/>
      <c r="M426" s="323"/>
      <c r="N426" s="323"/>
      <c r="O426" s="323"/>
      <c r="P426" s="481">
        <v>0.3</v>
      </c>
      <c r="Q426" s="322"/>
      <c r="R426" s="327">
        <f t="shared" ref="R426:R431" si="371">P426/$V$6</f>
        <v>8.5714285714285715E-2</v>
      </c>
      <c r="S426" s="322"/>
      <c r="T426" s="320">
        <f t="shared" ref="T426:T433" si="372">+P426*F426</f>
        <v>2781</v>
      </c>
      <c r="U426" s="317"/>
      <c r="V426" s="320">
        <f t="shared" ref="V426:V430" si="373">T426/$V$6</f>
        <v>794.57142857142856</v>
      </c>
      <c r="W426" s="320"/>
      <c r="X426" s="349">
        <f t="shared" ref="X426:X430" si="374">V426/$V$3</f>
        <v>2.9573052218130451E-4</v>
      </c>
      <c r="Y426" s="477"/>
      <c r="Z426" s="290">
        <f>V426/$V$601</f>
        <v>4.2848626800773293E-4</v>
      </c>
      <c r="AA426" s="635">
        <v>1</v>
      </c>
      <c r="AB426" s="638">
        <f>+W426+V426*AA426</f>
        <v>794.57142857142856</v>
      </c>
      <c r="AC426" s="636">
        <f t="shared" ref="AC426:AC433" si="375">+AD426/V426</f>
        <v>0</v>
      </c>
      <c r="AD426" s="292">
        <f>+V426-AB426</f>
        <v>0</v>
      </c>
      <c r="AE426" s="607" t="s">
        <v>61</v>
      </c>
      <c r="AF426" s="211"/>
    </row>
    <row r="427" spans="1:32" s="112" customFormat="1" ht="15" customHeight="1" x14ac:dyDescent="0.25">
      <c r="B427" s="325" t="s">
        <v>307</v>
      </c>
      <c r="C427" s="318"/>
      <c r="D427" s="324" t="s">
        <v>60</v>
      </c>
      <c r="E427" s="317"/>
      <c r="F427" s="322">
        <f>+F416*2</f>
        <v>18540</v>
      </c>
      <c r="G427" s="317"/>
      <c r="H427" s="324"/>
      <c r="I427" s="317"/>
      <c r="J427" s="162"/>
      <c r="K427" s="322"/>
      <c r="L427" s="323"/>
      <c r="M427" s="323"/>
      <c r="N427" s="323"/>
      <c r="O427" s="323"/>
      <c r="P427" s="481">
        <v>0.3</v>
      </c>
      <c r="Q427" s="322"/>
      <c r="R427" s="327">
        <f t="shared" si="371"/>
        <v>8.5714285714285715E-2</v>
      </c>
      <c r="S427" s="322"/>
      <c r="T427" s="320">
        <f t="shared" si="372"/>
        <v>5562</v>
      </c>
      <c r="U427" s="317"/>
      <c r="V427" s="320">
        <f t="shared" si="373"/>
        <v>1589.1428571428571</v>
      </c>
      <c r="W427" s="320"/>
      <c r="X427" s="349">
        <f t="shared" si="374"/>
        <v>5.9146104436260901E-4</v>
      </c>
      <c r="Y427" s="477"/>
      <c r="Z427" s="290">
        <f>V427/$V$601</f>
        <v>8.5697253601546585E-4</v>
      </c>
      <c r="AA427" s="635">
        <v>1</v>
      </c>
      <c r="AB427" s="638">
        <f>+W427+V427*AA427</f>
        <v>1589.1428571428571</v>
      </c>
      <c r="AC427" s="636">
        <f t="shared" si="375"/>
        <v>0</v>
      </c>
      <c r="AD427" s="292">
        <f>+V427-AB427</f>
        <v>0</v>
      </c>
      <c r="AE427" s="607" t="s">
        <v>61</v>
      </c>
      <c r="AF427" s="211"/>
    </row>
    <row r="428" spans="1:32" s="112" customFormat="1" ht="15" customHeight="1" x14ac:dyDescent="0.25">
      <c r="B428" s="325" t="s">
        <v>310</v>
      </c>
      <c r="C428" s="318"/>
      <c r="D428" s="324" t="s">
        <v>60</v>
      </c>
      <c r="E428" s="317"/>
      <c r="F428" s="322">
        <v>10000</v>
      </c>
      <c r="G428" s="317"/>
      <c r="H428" s="324"/>
      <c r="I428" s="317"/>
      <c r="J428" s="162"/>
      <c r="K428" s="322"/>
      <c r="L428" s="323"/>
      <c r="M428" s="323"/>
      <c r="N428" s="323"/>
      <c r="O428" s="323"/>
      <c r="P428" s="481">
        <f>+P182</f>
        <v>3</v>
      </c>
      <c r="Q428" s="322"/>
      <c r="R428" s="327">
        <f t="shared" si="371"/>
        <v>0.8571428571428571</v>
      </c>
      <c r="S428" s="322"/>
      <c r="T428" s="320">
        <f t="shared" si="372"/>
        <v>30000</v>
      </c>
      <c r="U428" s="317"/>
      <c r="V428" s="320">
        <f t="shared" si="373"/>
        <v>8571.4285714285706</v>
      </c>
      <c r="W428" s="320"/>
      <c r="X428" s="349">
        <f t="shared" si="374"/>
        <v>3.1901890202945468E-3</v>
      </c>
      <c r="Y428" s="477"/>
      <c r="Z428" s="290">
        <f>V428/$V$601</f>
        <v>4.6222898382711208E-3</v>
      </c>
      <c r="AA428" s="635">
        <v>1</v>
      </c>
      <c r="AB428" s="638">
        <f>+W428+V428*AA428</f>
        <v>8571.4285714285706</v>
      </c>
      <c r="AC428" s="636">
        <f t="shared" si="375"/>
        <v>0</v>
      </c>
      <c r="AD428" s="292">
        <f>+V428-AB428</f>
        <v>0</v>
      </c>
      <c r="AE428" s="607" t="s">
        <v>61</v>
      </c>
      <c r="AF428" s="211"/>
    </row>
    <row r="429" spans="1:32" s="112" customFormat="1" ht="15" customHeight="1" x14ac:dyDescent="0.25">
      <c r="B429" s="325" t="s">
        <v>18</v>
      </c>
      <c r="C429" s="318"/>
      <c r="D429" s="324" t="s">
        <v>60</v>
      </c>
      <c r="E429" s="317"/>
      <c r="F429" s="322">
        <v>0</v>
      </c>
      <c r="G429" s="317"/>
      <c r="H429" s="324"/>
      <c r="I429" s="317"/>
      <c r="J429" s="162"/>
      <c r="K429" s="322"/>
      <c r="L429" s="323"/>
      <c r="M429" s="323"/>
      <c r="N429" s="323"/>
      <c r="O429" s="323"/>
      <c r="P429" s="481">
        <v>0</v>
      </c>
      <c r="Q429" s="322"/>
      <c r="R429" s="327">
        <f t="shared" si="371"/>
        <v>0</v>
      </c>
      <c r="S429" s="322"/>
      <c r="T429" s="320">
        <f t="shared" si="372"/>
        <v>0</v>
      </c>
      <c r="U429" s="317"/>
      <c r="V429" s="320">
        <f t="shared" si="373"/>
        <v>0</v>
      </c>
      <c r="W429" s="320"/>
      <c r="X429" s="349">
        <f t="shared" si="374"/>
        <v>0</v>
      </c>
      <c r="Y429" s="477"/>
      <c r="Z429" s="290">
        <f>V429/$V$601</f>
        <v>0</v>
      </c>
      <c r="AA429" s="635">
        <v>1</v>
      </c>
      <c r="AB429" s="638">
        <f>+W429+V429*AA429</f>
        <v>0</v>
      </c>
      <c r="AC429" s="636" t="e">
        <f t="shared" si="375"/>
        <v>#DIV/0!</v>
      </c>
      <c r="AD429" s="292">
        <f>+V429-AB429</f>
        <v>0</v>
      </c>
      <c r="AE429" s="607" t="s">
        <v>61</v>
      </c>
      <c r="AF429" s="211"/>
    </row>
    <row r="430" spans="1:32" s="112" customFormat="1" ht="15" customHeight="1" x14ac:dyDescent="0.25">
      <c r="B430" s="325" t="s">
        <v>20</v>
      </c>
      <c r="C430" s="317"/>
      <c r="D430" s="324" t="s">
        <v>60</v>
      </c>
      <c r="E430" s="317"/>
      <c r="F430" s="322">
        <v>0</v>
      </c>
      <c r="G430" s="317"/>
      <c r="H430" s="324"/>
      <c r="I430" s="317"/>
      <c r="J430" s="322"/>
      <c r="K430" s="322"/>
      <c r="L430" s="323"/>
      <c r="M430" s="323"/>
      <c r="N430" s="323"/>
      <c r="O430" s="323"/>
      <c r="P430" s="481">
        <v>20</v>
      </c>
      <c r="Q430" s="322"/>
      <c r="R430" s="327">
        <f t="shared" si="371"/>
        <v>5.7142857142857144</v>
      </c>
      <c r="S430" s="322"/>
      <c r="T430" s="320">
        <f t="shared" si="372"/>
        <v>0</v>
      </c>
      <c r="U430" s="317"/>
      <c r="V430" s="320">
        <f t="shared" si="373"/>
        <v>0</v>
      </c>
      <c r="W430" s="320"/>
      <c r="X430" s="349">
        <f t="shared" si="374"/>
        <v>0</v>
      </c>
      <c r="Y430" s="477"/>
      <c r="Z430" s="290">
        <f>V430/$V$601</f>
        <v>0</v>
      </c>
      <c r="AA430" s="635">
        <v>1</v>
      </c>
      <c r="AB430" s="638">
        <f>+W430+V430*AA430</f>
        <v>0</v>
      </c>
      <c r="AC430" s="636" t="e">
        <f t="shared" si="375"/>
        <v>#DIV/0!</v>
      </c>
      <c r="AD430" s="292">
        <f>+V430-AB430</f>
        <v>0</v>
      </c>
      <c r="AE430" s="607" t="s">
        <v>61</v>
      </c>
    </row>
    <row r="431" spans="1:32" s="112" customFormat="1" ht="15" customHeight="1" x14ac:dyDescent="0.25">
      <c r="B431" s="325" t="s">
        <v>311</v>
      </c>
      <c r="C431" s="317"/>
      <c r="D431" s="324" t="s">
        <v>60</v>
      </c>
      <c r="E431" s="317"/>
      <c r="F431" s="322">
        <v>9500</v>
      </c>
      <c r="G431" s="317"/>
      <c r="H431" s="324"/>
      <c r="I431" s="317"/>
      <c r="J431" s="162"/>
      <c r="K431" s="322"/>
      <c r="L431" s="323"/>
      <c r="M431" s="323"/>
      <c r="N431" s="323"/>
      <c r="O431" s="323"/>
      <c r="P431" s="481">
        <v>10</v>
      </c>
      <c r="Q431" s="322"/>
      <c r="R431" s="327">
        <f t="shared" si="371"/>
        <v>2.8571428571428572</v>
      </c>
      <c r="S431" s="322"/>
      <c r="T431" s="320"/>
      <c r="U431" s="317"/>
      <c r="V431" s="320"/>
      <c r="W431" s="320"/>
      <c r="X431" s="349"/>
      <c r="Y431" s="477"/>
      <c r="Z431" s="290"/>
      <c r="AA431" s="635"/>
      <c r="AB431" s="638"/>
      <c r="AC431" s="636"/>
      <c r="AD431" s="292"/>
      <c r="AE431" s="607"/>
    </row>
    <row r="432" spans="1:32" s="112" customFormat="1" ht="15" customHeight="1" x14ac:dyDescent="0.25">
      <c r="B432" s="325" t="s">
        <v>308</v>
      </c>
      <c r="C432" s="318"/>
      <c r="D432" s="324" t="s">
        <v>60</v>
      </c>
      <c r="E432" s="317"/>
      <c r="F432" s="322">
        <v>9500</v>
      </c>
      <c r="G432" s="317"/>
      <c r="H432" s="324"/>
      <c r="I432" s="317"/>
      <c r="J432" s="162"/>
      <c r="K432" s="322"/>
      <c r="L432" s="323"/>
      <c r="M432" s="323"/>
      <c r="N432" s="323"/>
      <c r="O432" s="323"/>
      <c r="P432" s="481">
        <f>+P193</f>
        <v>5</v>
      </c>
      <c r="Q432" s="322"/>
      <c r="R432" s="327">
        <f>P432/$V$6</f>
        <v>1.4285714285714286</v>
      </c>
      <c r="S432" s="322"/>
      <c r="T432" s="320">
        <f t="shared" si="372"/>
        <v>47500</v>
      </c>
      <c r="U432" s="317"/>
      <c r="V432" s="320">
        <f>T432/$V$6</f>
        <v>13571.428571428571</v>
      </c>
      <c r="W432" s="320"/>
      <c r="X432" s="349">
        <f>V432/$V$3</f>
        <v>5.0511326154663661E-3</v>
      </c>
      <c r="Y432" s="477"/>
      <c r="Z432" s="290">
        <f>V432/$V$601</f>
        <v>7.3186255772626089E-3</v>
      </c>
      <c r="AA432" s="635">
        <v>0.5</v>
      </c>
      <c r="AB432" s="638">
        <f>+W432+V432*AA432</f>
        <v>6785.7142857142853</v>
      </c>
      <c r="AC432" s="636">
        <f t="shared" si="375"/>
        <v>0.5</v>
      </c>
      <c r="AD432" s="292">
        <f>+V432-AB432</f>
        <v>6785.7142857142853</v>
      </c>
      <c r="AE432" s="607" t="s">
        <v>61</v>
      </c>
      <c r="AF432" s="211"/>
    </row>
    <row r="433" spans="1:32" s="112" customFormat="1" ht="15" customHeight="1" x14ac:dyDescent="0.25">
      <c r="B433" s="325" t="s">
        <v>309</v>
      </c>
      <c r="C433" s="318"/>
      <c r="D433" s="324" t="s">
        <v>60</v>
      </c>
      <c r="E433" s="317"/>
      <c r="F433" s="322">
        <v>208</v>
      </c>
      <c r="G433" s="317"/>
      <c r="H433" s="324"/>
      <c r="I433" s="317"/>
      <c r="J433" s="162"/>
      <c r="K433" s="322"/>
      <c r="L433" s="323"/>
      <c r="M433" s="323"/>
      <c r="N433" s="323"/>
      <c r="O433" s="323"/>
      <c r="P433" s="481">
        <f>+P187</f>
        <v>2</v>
      </c>
      <c r="Q433" s="322"/>
      <c r="R433" s="327">
        <f>P433/$V$6</f>
        <v>0.5714285714285714</v>
      </c>
      <c r="S433" s="322"/>
      <c r="T433" s="320">
        <f t="shared" si="372"/>
        <v>416</v>
      </c>
      <c r="U433" s="317"/>
      <c r="V433" s="320">
        <f>T433/$V$6</f>
        <v>118.85714285714286</v>
      </c>
      <c r="W433" s="320"/>
      <c r="X433" s="349">
        <f>V433/$V$3</f>
        <v>4.4237287748084383E-5</v>
      </c>
      <c r="Y433" s="477"/>
      <c r="Z433" s="290">
        <f>V433/$V$601</f>
        <v>6.4095752424026217E-5</v>
      </c>
      <c r="AA433" s="635">
        <v>1</v>
      </c>
      <c r="AB433" s="638">
        <f>+W433+V433*AA433</f>
        <v>118.85714285714286</v>
      </c>
      <c r="AC433" s="636">
        <f t="shared" si="375"/>
        <v>0</v>
      </c>
      <c r="AD433" s="292">
        <f>+V433-AB433</f>
        <v>0</v>
      </c>
      <c r="AE433" s="607" t="s">
        <v>61</v>
      </c>
      <c r="AF433" s="211"/>
    </row>
    <row r="434" spans="1:32" s="112" customFormat="1" ht="15" customHeight="1" thickBot="1" x14ac:dyDescent="0.3">
      <c r="A434" s="112" t="s">
        <v>319</v>
      </c>
      <c r="B434" s="190" t="s">
        <v>62</v>
      </c>
      <c r="C434" s="318"/>
      <c r="D434" s="324"/>
      <c r="E434" s="317"/>
      <c r="F434" s="322"/>
      <c r="G434" s="317"/>
      <c r="H434" s="324"/>
      <c r="I434" s="317"/>
      <c r="J434" s="322"/>
      <c r="K434" s="322"/>
      <c r="L434" s="323"/>
      <c r="M434" s="323"/>
      <c r="N434" s="323"/>
      <c r="O434" s="323"/>
      <c r="P434" s="322"/>
      <c r="Q434" s="157"/>
      <c r="R434" s="157"/>
      <c r="S434" s="157"/>
      <c r="T434" s="544">
        <f>SUM(T426:T433)</f>
        <v>86259</v>
      </c>
      <c r="U434" s="131"/>
      <c r="V434" s="544">
        <f>SUM(V426:V433)</f>
        <v>24645.428571428569</v>
      </c>
      <c r="W434" s="132"/>
      <c r="X434" s="545">
        <f>SUM(X426:X433)</f>
        <v>9.1727504900529118E-3</v>
      </c>
      <c r="Y434" s="469"/>
      <c r="Z434" s="290">
        <f>V434/$V$601</f>
        <v>1.3290469971980953E-2</v>
      </c>
      <c r="AA434" s="668"/>
      <c r="AB434" s="544">
        <f>SUM(AB426:AB433)</f>
        <v>17859.714285714283</v>
      </c>
      <c r="AC434" s="637"/>
      <c r="AD434" s="544">
        <f>SUM(AD426:AD433)</f>
        <v>6785.7142857142853</v>
      </c>
      <c r="AE434" s="607"/>
      <c r="AF434" s="211"/>
    </row>
    <row r="435" spans="1:32" s="112" customFormat="1" ht="15" customHeight="1" x14ac:dyDescent="0.25">
      <c r="B435" s="289"/>
      <c r="C435" s="318"/>
      <c r="D435" s="324"/>
      <c r="E435" s="317"/>
      <c r="F435" s="322"/>
      <c r="G435" s="317"/>
      <c r="H435" s="324"/>
      <c r="I435" s="317"/>
      <c r="J435" s="322"/>
      <c r="K435" s="322"/>
      <c r="L435" s="323"/>
      <c r="M435" s="323"/>
      <c r="N435" s="323"/>
      <c r="O435" s="323"/>
      <c r="P435" s="322"/>
      <c r="Q435" s="157"/>
      <c r="R435" s="157"/>
      <c r="S435" s="157"/>
      <c r="T435" s="529"/>
      <c r="U435" s="131"/>
      <c r="V435" s="529"/>
      <c r="W435" s="132"/>
      <c r="X435" s="538"/>
      <c r="Y435" s="469"/>
      <c r="Z435" s="290"/>
      <c r="AA435" s="668"/>
      <c r="AB435" s="529"/>
      <c r="AC435" s="637"/>
      <c r="AD435" s="529"/>
      <c r="AE435" s="607"/>
      <c r="AF435" s="211"/>
    </row>
    <row r="436" spans="1:32" s="112" customFormat="1" x14ac:dyDescent="0.25">
      <c r="B436" s="187" t="s">
        <v>529</v>
      </c>
      <c r="C436" s="317"/>
      <c r="D436" s="324"/>
      <c r="E436" s="317"/>
      <c r="F436" s="322"/>
      <c r="G436" s="317"/>
      <c r="H436" s="324"/>
      <c r="I436" s="317"/>
      <c r="J436" s="322"/>
      <c r="K436" s="322"/>
      <c r="L436" s="323"/>
      <c r="M436" s="323"/>
      <c r="N436" s="323"/>
      <c r="O436" s="323"/>
      <c r="P436" s="322"/>
      <c r="Q436" s="322"/>
      <c r="R436" s="322"/>
      <c r="S436" s="322"/>
      <c r="T436" s="110"/>
      <c r="U436" s="317"/>
      <c r="V436" s="110"/>
      <c r="W436" s="320"/>
      <c r="X436" s="349"/>
      <c r="Y436" s="117"/>
      <c r="Z436" s="117"/>
      <c r="AA436" s="317"/>
      <c r="AB436" s="647"/>
      <c r="AC436" s="317"/>
      <c r="AD436" s="317"/>
      <c r="AE436" s="607"/>
    </row>
    <row r="437" spans="1:32" s="112" customFormat="1" ht="15" customHeight="1" x14ac:dyDescent="0.25">
      <c r="B437" s="325" t="s">
        <v>484</v>
      </c>
      <c r="C437" s="317"/>
      <c r="D437" s="324" t="s">
        <v>63</v>
      </c>
      <c r="E437" s="317"/>
      <c r="F437" s="695">
        <f>V4*25</f>
        <v>24181277.616620149</v>
      </c>
      <c r="G437" s="317"/>
      <c r="H437" s="324" t="s">
        <v>130</v>
      </c>
      <c r="I437" s="317"/>
      <c r="J437" s="322">
        <v>1</v>
      </c>
      <c r="K437" s="322"/>
      <c r="L437" s="323"/>
      <c r="M437" s="323"/>
      <c r="N437" s="323"/>
      <c r="O437" s="323"/>
      <c r="P437" s="322">
        <v>1E-3</v>
      </c>
      <c r="Q437" s="322"/>
      <c r="R437" s="327">
        <f>P437/$V$6</f>
        <v>2.8571428571428574E-4</v>
      </c>
      <c r="S437" s="322"/>
      <c r="T437" s="320">
        <f>IF(N437=0,IF(J437=0,F437*P437,F437*J437*P437),F437*J437*N437*P437)</f>
        <v>24181.277616620151</v>
      </c>
      <c r="U437" s="317"/>
      <c r="V437" s="320">
        <f>T437/$V$6</f>
        <v>6908.9364618914715</v>
      </c>
      <c r="W437" s="320"/>
      <c r="X437" s="349">
        <f>V437/$V$3</f>
        <v>2.5714282116411965E-3</v>
      </c>
      <c r="Y437" s="117"/>
      <c r="Z437" s="326">
        <f>V437/$V$601</f>
        <v>3.7257624601238748E-3</v>
      </c>
      <c r="AA437" s="635">
        <v>1</v>
      </c>
      <c r="AB437" s="638">
        <f>+W437+V437*AA437</f>
        <v>6908.9364618914715</v>
      </c>
      <c r="AC437" s="636">
        <f>+AD437/V437</f>
        <v>0</v>
      </c>
      <c r="AD437" s="292">
        <f>+V437-AB437</f>
        <v>0</v>
      </c>
      <c r="AE437" s="607" t="s">
        <v>64</v>
      </c>
    </row>
    <row r="438" spans="1:32" s="112" customFormat="1" ht="15" customHeight="1" x14ac:dyDescent="0.25">
      <c r="B438" s="325" t="s">
        <v>107</v>
      </c>
      <c r="C438" s="317"/>
      <c r="D438" s="324" t="s">
        <v>50</v>
      </c>
      <c r="E438" s="317"/>
      <c r="F438" s="322">
        <f>+SUM(F417+F418+F376)</f>
        <v>214</v>
      </c>
      <c r="G438" s="317"/>
      <c r="H438" s="324" t="s">
        <v>108</v>
      </c>
      <c r="I438" s="317"/>
      <c r="J438" s="322">
        <v>1</v>
      </c>
      <c r="K438" s="322"/>
      <c r="L438" s="324" t="s">
        <v>51</v>
      </c>
      <c r="M438" s="323"/>
      <c r="N438" s="322">
        <f>30*3</f>
        <v>90</v>
      </c>
      <c r="O438" s="323"/>
      <c r="P438" s="322">
        <v>5</v>
      </c>
      <c r="Q438" s="322"/>
      <c r="R438" s="327">
        <f>P438/$V$6</f>
        <v>1.4285714285714286</v>
      </c>
      <c r="S438" s="322"/>
      <c r="T438" s="320">
        <f>IF(N438=0,IF(J438=0,F438*P438,F438*J438*P438),F438*J438*N438*P438)</f>
        <v>96300</v>
      </c>
      <c r="U438" s="317"/>
      <c r="V438" s="320">
        <f>T438/$V$6</f>
        <v>27514.285714285714</v>
      </c>
      <c r="W438" s="320"/>
      <c r="X438" s="349">
        <f>V438/$V$3</f>
        <v>1.0240506755145496E-2</v>
      </c>
      <c r="Y438" s="117"/>
      <c r="Z438" s="326">
        <f>V438/$V$601</f>
        <v>1.4837550380850299E-2</v>
      </c>
      <c r="AA438" s="635">
        <v>1</v>
      </c>
      <c r="AB438" s="638">
        <f>+W438+V438*AA438</f>
        <v>27514.285714285714</v>
      </c>
      <c r="AC438" s="636">
        <f>+AD438/V438</f>
        <v>0</v>
      </c>
      <c r="AD438" s="292">
        <f>+V438-AB438</f>
        <v>0</v>
      </c>
      <c r="AE438" s="607" t="s">
        <v>312</v>
      </c>
    </row>
    <row r="439" spans="1:32" s="112" customFormat="1" ht="15.75" thickBot="1" x14ac:dyDescent="0.3">
      <c r="A439" s="112" t="s">
        <v>526</v>
      </c>
      <c r="B439" s="189" t="s">
        <v>65</v>
      </c>
      <c r="D439" s="546"/>
      <c r="F439" s="158"/>
      <c r="H439" s="546"/>
      <c r="J439" s="158"/>
      <c r="K439" s="158"/>
      <c r="L439" s="158"/>
      <c r="M439" s="158"/>
      <c r="N439" s="158"/>
      <c r="O439" s="158"/>
      <c r="P439" s="158"/>
      <c r="Q439" s="158"/>
      <c r="R439" s="158"/>
      <c r="S439" s="158"/>
      <c r="T439" s="544">
        <f>SUM(T437:T438)</f>
        <v>120481.27761662015</v>
      </c>
      <c r="U439" s="131"/>
      <c r="V439" s="544">
        <f>SUM(V437:V438)</f>
        <v>34423.222176177187</v>
      </c>
      <c r="W439" s="132"/>
      <c r="X439" s="545">
        <f>SUM(X437:X438)</f>
        <v>1.2811934966786693E-2</v>
      </c>
      <c r="Y439" s="539"/>
      <c r="Z439" s="242">
        <f>V439/$V$601</f>
        <v>1.8563312840974174E-2</v>
      </c>
      <c r="AB439" s="544">
        <f>SUM(AB437:AB438)</f>
        <v>34423.222176177187</v>
      </c>
      <c r="AD439" s="544">
        <f>SUM(AD437:AD438)</f>
        <v>0</v>
      </c>
      <c r="AE439" s="595"/>
    </row>
    <row r="440" spans="1:32" s="112" customFormat="1" x14ac:dyDescent="0.25">
      <c r="B440" s="325"/>
      <c r="D440" s="546"/>
      <c r="F440" s="158"/>
      <c r="H440" s="546"/>
      <c r="J440" s="158"/>
      <c r="K440" s="158"/>
      <c r="L440" s="158"/>
      <c r="M440" s="158"/>
      <c r="N440" s="158"/>
      <c r="O440" s="158"/>
      <c r="P440" s="158"/>
      <c r="Q440" s="158"/>
      <c r="R440" s="158"/>
      <c r="S440" s="158"/>
      <c r="X440" s="330"/>
      <c r="AB440" s="653"/>
      <c r="AE440" s="595"/>
    </row>
    <row r="441" spans="1:32" s="112" customFormat="1" ht="15.75" thickBot="1" x14ac:dyDescent="0.3">
      <c r="B441" s="547" t="s">
        <v>535</v>
      </c>
      <c r="C441" s="317"/>
      <c r="D441" s="324"/>
      <c r="E441" s="317"/>
      <c r="F441" s="322"/>
      <c r="G441" s="317"/>
      <c r="H441" s="324"/>
      <c r="I441" s="317"/>
      <c r="J441" s="322"/>
      <c r="K441" s="322"/>
      <c r="L441" s="323"/>
      <c r="M441" s="323"/>
      <c r="N441" s="323"/>
      <c r="O441" s="323"/>
      <c r="P441" s="322"/>
      <c r="Q441" s="322"/>
      <c r="R441" s="322"/>
      <c r="S441" s="322"/>
      <c r="T441" s="544">
        <f>T439+T423+T434</f>
        <v>480641.9936166202</v>
      </c>
      <c r="U441" s="318"/>
      <c r="V441" s="544">
        <f>V439+V423+V434</f>
        <v>137326.28389046292</v>
      </c>
      <c r="W441" s="134"/>
      <c r="X441" s="696">
        <f>X439+X423+X434</f>
        <v>4.9640106122341751E-2</v>
      </c>
      <c r="Y441" s="297"/>
      <c r="Z441" s="242">
        <f>V441/$V$601</f>
        <v>7.405555343134923E-2</v>
      </c>
      <c r="AA441" s="317"/>
      <c r="AB441" s="963">
        <f>AB439+AB423+AB434</f>
        <v>65325.875319034327</v>
      </c>
      <c r="AC441" s="317"/>
      <c r="AD441" s="544">
        <f>AD439+AD423+AD434</f>
        <v>72000.408571428576</v>
      </c>
      <c r="AE441" s="607"/>
    </row>
    <row r="442" spans="1:32" s="112" customFormat="1" x14ac:dyDescent="0.25">
      <c r="B442" s="470" t="s">
        <v>135</v>
      </c>
      <c r="C442" s="317"/>
      <c r="D442" s="324"/>
      <c r="E442" s="317"/>
      <c r="F442" s="322"/>
      <c r="G442" s="317"/>
      <c r="H442" s="324"/>
      <c r="I442" s="317"/>
      <c r="J442" s="322"/>
      <c r="K442" s="322"/>
      <c r="L442" s="323"/>
      <c r="M442" s="323"/>
      <c r="N442" s="323"/>
      <c r="O442" s="323"/>
      <c r="P442" s="322"/>
      <c r="Q442" s="322"/>
      <c r="R442" s="322"/>
      <c r="S442" s="322"/>
      <c r="T442" s="134"/>
      <c r="U442" s="318"/>
      <c r="V442" s="134"/>
      <c r="W442" s="134"/>
      <c r="X442" s="355"/>
      <c r="Y442" s="297"/>
      <c r="Z442" s="326"/>
      <c r="AA442" s="317"/>
      <c r="AB442" s="647"/>
      <c r="AC442" s="317"/>
      <c r="AD442" s="317"/>
      <c r="AE442" s="607"/>
    </row>
    <row r="443" spans="1:32" s="112" customFormat="1" ht="15" customHeight="1" x14ac:dyDescent="0.25">
      <c r="B443" s="177" t="s">
        <v>527</v>
      </c>
      <c r="C443" s="318"/>
      <c r="D443" s="324"/>
      <c r="E443" s="100"/>
      <c r="F443" s="322"/>
      <c r="G443" s="94"/>
      <c r="H443" s="324"/>
      <c r="I443" s="100"/>
      <c r="J443" s="162"/>
      <c r="K443" s="164"/>
      <c r="L443" s="323"/>
      <c r="M443" s="323"/>
      <c r="N443" s="166"/>
      <c r="O443" s="323"/>
      <c r="P443" s="322"/>
      <c r="Q443" s="322"/>
      <c r="R443" s="322"/>
      <c r="S443" s="322"/>
      <c r="T443" s="302"/>
      <c r="U443" s="318"/>
      <c r="V443" s="302"/>
      <c r="W443" s="134"/>
      <c r="X443" s="344"/>
      <c r="Y443" s="240"/>
      <c r="Z443" s="290"/>
      <c r="AA443" s="94"/>
      <c r="AB443" s="648"/>
      <c r="AC443" s="94"/>
      <c r="AD443" s="94"/>
      <c r="AE443" s="607"/>
      <c r="AF443" s="211"/>
    </row>
    <row r="444" spans="1:32" s="112" customFormat="1" ht="15" customHeight="1" x14ac:dyDescent="0.25">
      <c r="B444" s="177" t="s">
        <v>162</v>
      </c>
      <c r="C444" s="318"/>
      <c r="D444" s="324"/>
      <c r="E444" s="100"/>
      <c r="F444" s="322"/>
      <c r="G444" s="94"/>
      <c r="H444" s="324"/>
      <c r="I444" s="100"/>
      <c r="J444" s="162"/>
      <c r="K444" s="164"/>
      <c r="L444" s="323"/>
      <c r="M444" s="323"/>
      <c r="N444" s="166"/>
      <c r="O444" s="323"/>
      <c r="P444" s="322"/>
      <c r="Q444" s="322"/>
      <c r="R444" s="322"/>
      <c r="S444" s="322"/>
      <c r="T444" s="302"/>
      <c r="U444" s="318"/>
      <c r="V444" s="302"/>
      <c r="W444" s="134"/>
      <c r="X444" s="344"/>
      <c r="Y444" s="240"/>
      <c r="Z444" s="290"/>
      <c r="AA444" s="94"/>
      <c r="AB444" s="648"/>
      <c r="AC444" s="94"/>
      <c r="AD444" s="94"/>
      <c r="AE444" s="607"/>
      <c r="AF444" s="211"/>
    </row>
    <row r="445" spans="1:32" s="112" customFormat="1" ht="15" customHeight="1" x14ac:dyDescent="0.25">
      <c r="B445" s="470" t="s">
        <v>530</v>
      </c>
      <c r="C445" s="318"/>
      <c r="D445" s="324"/>
      <c r="E445" s="100"/>
      <c r="F445" s="322"/>
      <c r="G445" s="94"/>
      <c r="H445" s="324"/>
      <c r="I445" s="100"/>
      <c r="J445" s="162"/>
      <c r="K445" s="164"/>
      <c r="L445" s="323"/>
      <c r="M445" s="323"/>
      <c r="N445" s="166"/>
      <c r="O445" s="323"/>
      <c r="P445" s="322"/>
      <c r="Q445" s="322"/>
      <c r="R445" s="322"/>
      <c r="S445" s="322"/>
      <c r="T445" s="134"/>
      <c r="U445" s="318"/>
      <c r="V445" s="134"/>
      <c r="W445" s="134"/>
      <c r="X445" s="355"/>
      <c r="Y445" s="469"/>
      <c r="Z445" s="290"/>
      <c r="AA445" s="94"/>
      <c r="AB445" s="648"/>
      <c r="AC445" s="94"/>
      <c r="AD445" s="94"/>
      <c r="AE445" s="607"/>
      <c r="AF445" s="211"/>
    </row>
    <row r="446" spans="1:32" s="112" customFormat="1" ht="15" customHeight="1" x14ac:dyDescent="0.25">
      <c r="B446" s="178" t="s">
        <v>249</v>
      </c>
      <c r="C446" s="318"/>
      <c r="D446" s="193" t="s">
        <v>50</v>
      </c>
      <c r="E446" s="100"/>
      <c r="F446" s="321">
        <v>1</v>
      </c>
      <c r="G446" s="94"/>
      <c r="H446" s="193" t="s">
        <v>51</v>
      </c>
      <c r="I446" s="100"/>
      <c r="J446" s="321">
        <v>2</v>
      </c>
      <c r="K446" s="164"/>
      <c r="L446" s="193" t="s">
        <v>269</v>
      </c>
      <c r="M446" s="163"/>
      <c r="N446" s="321">
        <v>3</v>
      </c>
      <c r="O446" s="323"/>
      <c r="P446" s="321">
        <f>'Staff Detail'!B28</f>
        <v>249.04043835616437</v>
      </c>
      <c r="Q446" s="322"/>
      <c r="R446" s="327">
        <f t="shared" ref="R446:R448" si="376">P446/$V$6</f>
        <v>71.154410958904108</v>
      </c>
      <c r="S446" s="322"/>
      <c r="T446" s="319">
        <f t="shared" ref="T446:T448" si="377">IF(N446=0,IF(J446=0,F446*P446,F446*J446*P446),F446*J446*N446*P446)</f>
        <v>1494.2426301369862</v>
      </c>
      <c r="U446" s="317"/>
      <c r="V446" s="319">
        <f t="shared" ref="V446:V451" si="378">T446/$V$6</f>
        <v>426.92646575342462</v>
      </c>
      <c r="W446" s="320"/>
      <c r="X446" s="337">
        <f t="shared" ref="X446:X448" si="379">V446/$V$3</f>
        <v>1.5889721441063529E-4</v>
      </c>
      <c r="Y446" s="167"/>
      <c r="Z446" s="326">
        <f t="shared" ref="Z446:Z452" si="380">V446/$V$601</f>
        <v>2.3022741750645682E-4</v>
      </c>
      <c r="AA446" s="635">
        <v>0.25</v>
      </c>
      <c r="AB446" s="638">
        <f t="shared" ref="AB446:AB451" si="381">+W446+V446*AA446</f>
        <v>106.73161643835616</v>
      </c>
      <c r="AC446" s="636">
        <f t="shared" ref="AC446:AC448" si="382">+AD446/V446</f>
        <v>0.75000000000000011</v>
      </c>
      <c r="AD446" s="292">
        <f t="shared" ref="AD446:AD451" si="383">+V446-AB446</f>
        <v>320.1948493150685</v>
      </c>
      <c r="AE446" s="607" t="s">
        <v>99</v>
      </c>
      <c r="AF446" s="211"/>
    </row>
    <row r="447" spans="1:32" s="112" customFormat="1" ht="15" customHeight="1" x14ac:dyDescent="0.25">
      <c r="B447" s="306" t="s">
        <v>500</v>
      </c>
      <c r="C447" s="318"/>
      <c r="D447" s="193" t="s">
        <v>50</v>
      </c>
      <c r="E447" s="100"/>
      <c r="F447" s="321">
        <v>3</v>
      </c>
      <c r="G447" s="94"/>
      <c r="H447" s="193" t="s">
        <v>51</v>
      </c>
      <c r="I447" s="100"/>
      <c r="J447" s="321">
        <v>1</v>
      </c>
      <c r="K447" s="164"/>
      <c r="L447" s="193"/>
      <c r="M447" s="317"/>
      <c r="N447" s="323"/>
      <c r="O447" s="323"/>
      <c r="P447" s="321">
        <f>+'Staff Detail'!B15</f>
        <v>119.56</v>
      </c>
      <c r="Q447" s="322"/>
      <c r="R447" s="327">
        <f t="shared" si="376"/>
        <v>34.160000000000004</v>
      </c>
      <c r="S447" s="322"/>
      <c r="T447" s="319">
        <f t="shared" si="377"/>
        <v>358.68</v>
      </c>
      <c r="U447" s="317"/>
      <c r="V447" s="319">
        <f t="shared" si="378"/>
        <v>102.48</v>
      </c>
      <c r="W447" s="320"/>
      <c r="X447" s="337">
        <f t="shared" si="379"/>
        <v>3.8141899926641602E-5</v>
      </c>
      <c r="Y447" s="167"/>
      <c r="Z447" s="326">
        <f t="shared" si="380"/>
        <v>5.526409730636953E-5</v>
      </c>
      <c r="AA447" s="635">
        <v>1</v>
      </c>
      <c r="AB447" s="638">
        <f t="shared" si="381"/>
        <v>102.48</v>
      </c>
      <c r="AC447" s="636">
        <f t="shared" si="382"/>
        <v>0</v>
      </c>
      <c r="AD447" s="292">
        <f t="shared" si="383"/>
        <v>0</v>
      </c>
      <c r="AE447" s="607" t="s">
        <v>99</v>
      </c>
      <c r="AF447" s="211"/>
    </row>
    <row r="448" spans="1:32" s="112" customFormat="1" ht="15" customHeight="1" x14ac:dyDescent="0.25">
      <c r="B448" s="178" t="s">
        <v>140</v>
      </c>
      <c r="C448" s="318"/>
      <c r="D448" s="193" t="s">
        <v>50</v>
      </c>
      <c r="E448" s="100"/>
      <c r="F448" s="321">
        <v>3</v>
      </c>
      <c r="G448" s="94"/>
      <c r="H448" s="193" t="s">
        <v>51</v>
      </c>
      <c r="I448" s="100"/>
      <c r="J448" s="321">
        <v>1</v>
      </c>
      <c r="K448" s="164"/>
      <c r="L448" s="193"/>
      <c r="M448" s="317"/>
      <c r="N448" s="323"/>
      <c r="O448" s="323"/>
      <c r="P448" s="321">
        <f>+'Staff Detail'!B14</f>
        <v>128.1</v>
      </c>
      <c r="Q448" s="322"/>
      <c r="R448" s="327">
        <f t="shared" si="376"/>
        <v>36.6</v>
      </c>
      <c r="S448" s="322"/>
      <c r="T448" s="319">
        <f t="shared" si="377"/>
        <v>384.29999999999995</v>
      </c>
      <c r="U448" s="317"/>
      <c r="V448" s="319">
        <f t="shared" si="378"/>
        <v>109.79999999999998</v>
      </c>
      <c r="W448" s="320"/>
      <c r="X448" s="337">
        <f t="shared" si="379"/>
        <v>4.0866321349973139E-5</v>
      </c>
      <c r="Y448" s="167"/>
      <c r="Z448" s="326">
        <f t="shared" si="380"/>
        <v>5.9211532828253056E-5</v>
      </c>
      <c r="AA448" s="635">
        <v>1</v>
      </c>
      <c r="AB448" s="638">
        <f t="shared" si="381"/>
        <v>109.79999999999998</v>
      </c>
      <c r="AC448" s="636">
        <f t="shared" si="382"/>
        <v>0</v>
      </c>
      <c r="AD448" s="292">
        <f t="shared" si="383"/>
        <v>0</v>
      </c>
      <c r="AE448" s="607" t="s">
        <v>99</v>
      </c>
      <c r="AF448" s="211"/>
    </row>
    <row r="449" spans="1:32" s="112" customFormat="1" ht="15" customHeight="1" x14ac:dyDescent="0.25">
      <c r="B449" s="178" t="s">
        <v>473</v>
      </c>
      <c r="C449" s="318"/>
      <c r="D449" s="193" t="s">
        <v>50</v>
      </c>
      <c r="E449" s="100"/>
      <c r="F449" s="321">
        <v>1</v>
      </c>
      <c r="G449" s="94"/>
      <c r="H449" s="193" t="s">
        <v>51</v>
      </c>
      <c r="I449" s="100"/>
      <c r="J449" s="321">
        <v>6</v>
      </c>
      <c r="K449" s="164"/>
      <c r="L449" s="193"/>
      <c r="M449" s="317"/>
      <c r="N449" s="323"/>
      <c r="O449" s="323"/>
      <c r="P449" s="321">
        <f>+'Staff Detail'!D52+'Staff Detail'!B51</f>
        <v>350</v>
      </c>
      <c r="Q449" s="322"/>
      <c r="R449" s="327">
        <f t="shared" ref="R449" si="384">P449/$V$6</f>
        <v>100</v>
      </c>
      <c r="S449" s="322"/>
      <c r="T449" s="319">
        <f t="shared" ref="T449" si="385">IF(N449=0,IF(J449=0,F449*P449,F449*J449*P449),F449*J449*N449*P449)</f>
        <v>2100</v>
      </c>
      <c r="U449" s="317"/>
      <c r="V449" s="319">
        <f t="shared" ref="V449" si="386">T449/$V$6</f>
        <v>600</v>
      </c>
      <c r="W449" s="320"/>
      <c r="X449" s="337">
        <f t="shared" ref="X449" si="387">V449/$V$3</f>
        <v>2.2331323142061829E-4</v>
      </c>
      <c r="Y449" s="167"/>
      <c r="Z449" s="326">
        <f t="shared" si="380"/>
        <v>3.2356028867897848E-4</v>
      </c>
      <c r="AA449" s="635">
        <v>1</v>
      </c>
      <c r="AB449" s="638">
        <f t="shared" si="381"/>
        <v>600</v>
      </c>
      <c r="AC449" s="636">
        <f t="shared" ref="AC449" si="388">+AD449/V449</f>
        <v>0</v>
      </c>
      <c r="AD449" s="292">
        <f t="shared" si="383"/>
        <v>0</v>
      </c>
      <c r="AE449" s="607" t="s">
        <v>102</v>
      </c>
      <c r="AF449" s="211"/>
    </row>
    <row r="450" spans="1:32" s="112" customFormat="1" ht="15" customHeight="1" x14ac:dyDescent="0.25">
      <c r="B450" s="178" t="s">
        <v>262</v>
      </c>
      <c r="C450" s="318"/>
      <c r="D450" s="193" t="s">
        <v>50</v>
      </c>
      <c r="E450" s="317"/>
      <c r="F450" s="321">
        <v>1</v>
      </c>
      <c r="G450" s="317"/>
      <c r="H450" s="193" t="s">
        <v>261</v>
      </c>
      <c r="I450" s="100"/>
      <c r="J450" s="321">
        <v>1</v>
      </c>
      <c r="K450" s="322"/>
      <c r="L450" s="193" t="s">
        <v>263</v>
      </c>
      <c r="M450" s="323"/>
      <c r="N450" s="669"/>
      <c r="O450" s="323"/>
      <c r="P450" s="321">
        <v>750</v>
      </c>
      <c r="Q450" s="322"/>
      <c r="R450" s="327">
        <f>P450/$V$6</f>
        <v>214.28571428571428</v>
      </c>
      <c r="S450" s="322"/>
      <c r="T450" s="319">
        <f>IF(N450=0,IF(J450=0,F450*P450,F450*J450*P450),F450*J450*N450*P450)</f>
        <v>750</v>
      </c>
      <c r="U450" s="317"/>
      <c r="V450" s="319">
        <f t="shared" si="378"/>
        <v>214.28571428571428</v>
      </c>
      <c r="W450" s="320"/>
      <c r="X450" s="337">
        <f>V450/$V$3</f>
        <v>7.9754725507363668E-5</v>
      </c>
      <c r="Y450" s="167"/>
      <c r="Z450" s="326">
        <f t="shared" si="380"/>
        <v>1.1555724595677803E-4</v>
      </c>
      <c r="AA450" s="635">
        <v>0.25</v>
      </c>
      <c r="AB450" s="638">
        <f t="shared" si="381"/>
        <v>53.571428571428569</v>
      </c>
      <c r="AC450" s="636">
        <f>+AD450/V450</f>
        <v>0.75000000000000011</v>
      </c>
      <c r="AD450" s="292">
        <f t="shared" si="383"/>
        <v>160.71428571428572</v>
      </c>
      <c r="AE450" s="607" t="s">
        <v>102</v>
      </c>
      <c r="AF450" s="211"/>
    </row>
    <row r="451" spans="1:32" s="112" customFormat="1" ht="15" customHeight="1" x14ac:dyDescent="0.25">
      <c r="B451" s="178" t="s">
        <v>17</v>
      </c>
      <c r="C451" s="318"/>
      <c r="D451" s="193" t="s">
        <v>98</v>
      </c>
      <c r="E451" s="317"/>
      <c r="F451" s="321">
        <v>3</v>
      </c>
      <c r="G451" s="317"/>
      <c r="H451" s="193" t="s">
        <v>54</v>
      </c>
      <c r="I451" s="100"/>
      <c r="J451" s="321">
        <v>33</v>
      </c>
      <c r="K451" s="164"/>
      <c r="L451" s="193" t="s">
        <v>51</v>
      </c>
      <c r="M451" s="163"/>
      <c r="N451" s="321">
        <v>3</v>
      </c>
      <c r="O451" s="165"/>
      <c r="P451" s="321">
        <v>3.3</v>
      </c>
      <c r="Q451" s="322"/>
      <c r="R451" s="327">
        <f>P451/$V$6</f>
        <v>0.94285714285714284</v>
      </c>
      <c r="S451" s="322"/>
      <c r="T451" s="319">
        <f t="shared" ref="T451" si="389">IF(N451=0,IF(J451=0,F451*P451,F451*J451*P451),F451*J451*N451*P451)</f>
        <v>980.09999999999991</v>
      </c>
      <c r="U451" s="317"/>
      <c r="V451" s="319">
        <f t="shared" si="378"/>
        <v>280.02857142857141</v>
      </c>
      <c r="W451" s="320"/>
      <c r="X451" s="337">
        <f>V451/$V$3</f>
        <v>1.0422347529302284E-4</v>
      </c>
      <c r="Y451" s="167"/>
      <c r="Z451" s="326">
        <f t="shared" si="380"/>
        <v>1.5101020901631752E-4</v>
      </c>
      <c r="AA451" s="635">
        <v>1</v>
      </c>
      <c r="AB451" s="638">
        <f t="shared" si="381"/>
        <v>280.02857142857141</v>
      </c>
      <c r="AC451" s="636">
        <f>+AD451/V451</f>
        <v>0</v>
      </c>
      <c r="AD451" s="292">
        <f t="shared" si="383"/>
        <v>0</v>
      </c>
      <c r="AE451" s="611" t="s">
        <v>55</v>
      </c>
      <c r="AF451" s="211"/>
    </row>
    <row r="452" spans="1:32" s="112" customFormat="1" ht="15" customHeight="1" thickBot="1" x14ac:dyDescent="0.3">
      <c r="A452" s="112" t="s">
        <v>320</v>
      </c>
      <c r="B452" s="176" t="s">
        <v>96</v>
      </c>
      <c r="C452" s="318"/>
      <c r="D452" s="324"/>
      <c r="E452" s="317"/>
      <c r="F452" s="322"/>
      <c r="G452" s="317"/>
      <c r="H452" s="324"/>
      <c r="I452" s="317"/>
      <c r="J452" s="162"/>
      <c r="K452" s="322"/>
      <c r="L452" s="323"/>
      <c r="M452" s="323"/>
      <c r="N452" s="166"/>
      <c r="O452" s="323"/>
      <c r="P452" s="322"/>
      <c r="Q452" s="322"/>
      <c r="R452" s="322"/>
      <c r="S452" s="322"/>
      <c r="T452" s="133">
        <f>SUM(T446:T451)</f>
        <v>6067.3226301369868</v>
      </c>
      <c r="U452" s="318"/>
      <c r="V452" s="133">
        <f>SUM(V446:V451)</f>
        <v>1733.5207514677104</v>
      </c>
      <c r="W452" s="134"/>
      <c r="X452" s="338">
        <f>SUM(X446:X451)</f>
        <v>6.4519686790825482E-4</v>
      </c>
      <c r="Y452" s="240"/>
      <c r="Z452" s="286">
        <f t="shared" si="380"/>
        <v>9.348307912931535E-4</v>
      </c>
      <c r="AA452" s="635">
        <v>1</v>
      </c>
      <c r="AB452" s="133">
        <f>SUM(AB446:AB451)</f>
        <v>1252.6116164383561</v>
      </c>
      <c r="AC452" s="636">
        <f t="shared" ref="AC452" si="390">+AD452/V452</f>
        <v>0.27741758189060356</v>
      </c>
      <c r="AD452" s="133">
        <f>SUM(AD446:AD451)</f>
        <v>480.90913502935422</v>
      </c>
      <c r="AE452" s="607"/>
      <c r="AF452" s="211"/>
    </row>
    <row r="453" spans="1:32" s="665" customFormat="1" ht="15" customHeight="1" x14ac:dyDescent="0.25">
      <c r="B453" s="306"/>
      <c r="C453" s="678"/>
      <c r="D453" s="679"/>
      <c r="E453" s="680"/>
      <c r="F453" s="669"/>
      <c r="G453" s="681"/>
      <c r="H453" s="679"/>
      <c r="I453" s="680"/>
      <c r="J453" s="669"/>
      <c r="K453" s="682"/>
      <c r="L453" s="679"/>
      <c r="M453" s="683"/>
      <c r="N453" s="684"/>
      <c r="O453" s="684"/>
      <c r="P453" s="669"/>
      <c r="Q453" s="669"/>
      <c r="R453" s="685"/>
      <c r="S453" s="669"/>
      <c r="T453" s="686"/>
      <c r="U453" s="683"/>
      <c r="V453" s="686"/>
      <c r="W453" s="686"/>
      <c r="X453" s="687"/>
      <c r="Y453" s="688"/>
      <c r="Z453" s="689"/>
      <c r="AA453" s="668"/>
      <c r="AB453" s="690"/>
      <c r="AC453" s="637"/>
      <c r="AD453" s="691"/>
      <c r="AE453" s="717"/>
      <c r="AF453" s="692"/>
    </row>
    <row r="454" spans="1:32" s="112" customFormat="1" ht="15" customHeight="1" x14ac:dyDescent="0.25">
      <c r="B454" s="470" t="s">
        <v>531</v>
      </c>
      <c r="C454" s="318"/>
      <c r="D454" s="324"/>
      <c r="E454" s="100"/>
      <c r="F454" s="322"/>
      <c r="G454" s="94"/>
      <c r="H454" s="324"/>
      <c r="I454" s="100"/>
      <c r="J454" s="162"/>
      <c r="K454" s="164"/>
      <c r="L454" s="323"/>
      <c r="M454" s="323"/>
      <c r="N454" s="166"/>
      <c r="O454" s="323"/>
      <c r="P454" s="322"/>
      <c r="Q454" s="322"/>
      <c r="R454" s="322"/>
      <c r="S454" s="322"/>
      <c r="T454" s="134"/>
      <c r="U454" s="318"/>
      <c r="V454" s="134"/>
      <c r="W454" s="134"/>
      <c r="X454" s="355"/>
      <c r="Y454" s="469"/>
      <c r="Z454" s="290"/>
      <c r="AA454" s="94"/>
      <c r="AB454" s="648"/>
      <c r="AC454" s="94"/>
      <c r="AD454" s="94"/>
      <c r="AE454" s="607"/>
      <c r="AF454" s="211"/>
    </row>
    <row r="455" spans="1:32" s="112" customFormat="1" ht="15" customHeight="1" x14ac:dyDescent="0.25">
      <c r="B455" s="306" t="s">
        <v>500</v>
      </c>
      <c r="C455" s="318"/>
      <c r="D455" s="193" t="s">
        <v>50</v>
      </c>
      <c r="E455" s="317"/>
      <c r="F455" s="321">
        <v>3</v>
      </c>
      <c r="G455" s="317"/>
      <c r="H455" s="193" t="s">
        <v>51</v>
      </c>
      <c r="I455" s="100"/>
      <c r="J455" s="321">
        <v>1</v>
      </c>
      <c r="K455" s="322"/>
      <c r="L455" s="193"/>
      <c r="M455" s="317"/>
      <c r="N455" s="323"/>
      <c r="O455" s="323"/>
      <c r="P455" s="321">
        <f>+P447</f>
        <v>119.56</v>
      </c>
      <c r="Q455" s="322"/>
      <c r="R455" s="327">
        <f t="shared" ref="R455:R458" si="391">P455/$V$6</f>
        <v>34.160000000000004</v>
      </c>
      <c r="S455" s="322"/>
      <c r="T455" s="319">
        <f t="shared" ref="T455:T461" si="392">IF(N455=0,IF(J455=0,F455*P455,F455*J455*P455),F455*J455*N455*P455)</f>
        <v>358.68</v>
      </c>
      <c r="U455" s="317"/>
      <c r="V455" s="319">
        <f t="shared" ref="V455:V461" si="393">T455/$V$6</f>
        <v>102.48</v>
      </c>
      <c r="W455" s="320"/>
      <c r="X455" s="337">
        <f t="shared" ref="X455:X461" si="394">V455/$V$3</f>
        <v>3.8141899926641602E-5</v>
      </c>
      <c r="Y455" s="167"/>
      <c r="Z455" s="326">
        <f t="shared" ref="Z455:Z462" si="395">V455/$V$601</f>
        <v>5.526409730636953E-5</v>
      </c>
      <c r="AA455" s="635">
        <v>1</v>
      </c>
      <c r="AB455" s="638">
        <f t="shared" ref="AB455:AB461" si="396">+W455+V455*AA455</f>
        <v>102.48</v>
      </c>
      <c r="AC455" s="636">
        <f t="shared" ref="AC455:AC461" si="397">+AD455/V455</f>
        <v>0</v>
      </c>
      <c r="AD455" s="292">
        <f t="shared" ref="AD455:AD461" si="398">+V455-AB455</f>
        <v>0</v>
      </c>
      <c r="AE455" s="607" t="s">
        <v>100</v>
      </c>
      <c r="AF455" s="211"/>
    </row>
    <row r="456" spans="1:32" s="112" customFormat="1" ht="15" customHeight="1" x14ac:dyDescent="0.25">
      <c r="B456" s="178" t="s">
        <v>409</v>
      </c>
      <c r="C456" s="318"/>
      <c r="D456" s="193" t="s">
        <v>50</v>
      </c>
      <c r="E456" s="317"/>
      <c r="F456" s="321">
        <f>322+32</f>
        <v>354</v>
      </c>
      <c r="G456" s="317"/>
      <c r="H456" s="193" t="s">
        <v>51</v>
      </c>
      <c r="I456" s="100"/>
      <c r="J456" s="321">
        <v>1</v>
      </c>
      <c r="K456" s="322"/>
      <c r="L456" s="193"/>
      <c r="M456" s="323"/>
      <c r="N456" s="323"/>
      <c r="O456" s="323"/>
      <c r="P456" s="321">
        <v>30</v>
      </c>
      <c r="Q456" s="322"/>
      <c r="R456" s="327">
        <f t="shared" si="391"/>
        <v>8.5714285714285712</v>
      </c>
      <c r="S456" s="322"/>
      <c r="T456" s="319">
        <f t="shared" si="392"/>
        <v>10620</v>
      </c>
      <c r="U456" s="317"/>
      <c r="V456" s="319">
        <f t="shared" si="393"/>
        <v>3034.2857142857142</v>
      </c>
      <c r="W456" s="320"/>
      <c r="X456" s="337">
        <f t="shared" si="394"/>
        <v>1.1293269131842697E-3</v>
      </c>
      <c r="Y456" s="167"/>
      <c r="Z456" s="326">
        <f t="shared" si="395"/>
        <v>1.6362906027479768E-3</v>
      </c>
      <c r="AA456" s="635">
        <v>1</v>
      </c>
      <c r="AB456" s="638">
        <f t="shared" si="396"/>
        <v>3034.2857142857142</v>
      </c>
      <c r="AC456" s="636">
        <f t="shared" si="397"/>
        <v>0</v>
      </c>
      <c r="AD456" s="292">
        <f t="shared" si="398"/>
        <v>0</v>
      </c>
      <c r="AE456" s="607" t="s">
        <v>100</v>
      </c>
      <c r="AF456" s="211"/>
    </row>
    <row r="457" spans="1:32" s="112" customFormat="1" ht="15" customHeight="1" x14ac:dyDescent="0.25">
      <c r="B457" s="178" t="s">
        <v>164</v>
      </c>
      <c r="C457" s="318"/>
      <c r="D457" s="193" t="s">
        <v>194</v>
      </c>
      <c r="E457" s="317"/>
      <c r="F457" s="321">
        <v>43</v>
      </c>
      <c r="G457" s="317"/>
      <c r="H457" s="193" t="s">
        <v>51</v>
      </c>
      <c r="I457" s="317"/>
      <c r="J457" s="321">
        <v>1</v>
      </c>
      <c r="K457" s="322"/>
      <c r="L457" s="193"/>
      <c r="M457" s="317"/>
      <c r="N457" s="323"/>
      <c r="O457" s="323"/>
      <c r="P457" s="321">
        <v>100</v>
      </c>
      <c r="Q457" s="322"/>
      <c r="R457" s="327">
        <f t="shared" si="391"/>
        <v>28.571428571428573</v>
      </c>
      <c r="S457" s="322"/>
      <c r="T457" s="319">
        <f t="shared" si="392"/>
        <v>4300</v>
      </c>
      <c r="U457" s="317"/>
      <c r="V457" s="319">
        <f t="shared" si="393"/>
        <v>1228.5714285714287</v>
      </c>
      <c r="W457" s="320"/>
      <c r="X457" s="337">
        <f t="shared" si="394"/>
        <v>4.5726042624221841E-4</v>
      </c>
      <c r="Y457" s="167"/>
      <c r="Z457" s="326">
        <f t="shared" si="395"/>
        <v>6.6252821015219416E-4</v>
      </c>
      <c r="AA457" s="635">
        <v>1</v>
      </c>
      <c r="AB457" s="638">
        <f t="shared" si="396"/>
        <v>1228.5714285714287</v>
      </c>
      <c r="AC457" s="636">
        <f t="shared" si="397"/>
        <v>0</v>
      </c>
      <c r="AD457" s="292">
        <f t="shared" si="398"/>
        <v>0</v>
      </c>
      <c r="AE457" s="607" t="s">
        <v>100</v>
      </c>
      <c r="AF457" s="211"/>
    </row>
    <row r="458" spans="1:32" s="112" customFormat="1" ht="15" customHeight="1" x14ac:dyDescent="0.25">
      <c r="B458" s="178" t="s">
        <v>466</v>
      </c>
      <c r="C458" s="318"/>
      <c r="D458" s="193" t="s">
        <v>50</v>
      </c>
      <c r="E458" s="317"/>
      <c r="F458" s="321">
        <v>3</v>
      </c>
      <c r="G458" s="317"/>
      <c r="H458" s="193" t="s">
        <v>51</v>
      </c>
      <c r="I458" s="100"/>
      <c r="J458" s="321">
        <v>5</v>
      </c>
      <c r="K458" s="322"/>
      <c r="L458" s="193"/>
      <c r="M458" s="317"/>
      <c r="N458" s="323"/>
      <c r="O458" s="323"/>
      <c r="P458" s="321">
        <f>+'Staff Detail'!B$16</f>
        <v>89.67</v>
      </c>
      <c r="Q458" s="322"/>
      <c r="R458" s="327">
        <f t="shared" si="391"/>
        <v>25.62</v>
      </c>
      <c r="S458" s="322"/>
      <c r="T458" s="319">
        <f t="shared" si="392"/>
        <v>1345.05</v>
      </c>
      <c r="U458" s="317"/>
      <c r="V458" s="319">
        <f t="shared" si="393"/>
        <v>384.3</v>
      </c>
      <c r="W458" s="320"/>
      <c r="X458" s="337">
        <f t="shared" si="394"/>
        <v>1.4303212472490602E-4</v>
      </c>
      <c r="Y458" s="167"/>
      <c r="Z458" s="326">
        <f t="shared" si="395"/>
        <v>2.0724036489888574E-4</v>
      </c>
      <c r="AA458" s="635">
        <v>1</v>
      </c>
      <c r="AB458" s="638">
        <f t="shared" si="396"/>
        <v>384.3</v>
      </c>
      <c r="AC458" s="636">
        <f t="shared" si="397"/>
        <v>0</v>
      </c>
      <c r="AD458" s="292">
        <f t="shared" si="398"/>
        <v>0</v>
      </c>
      <c r="AE458" s="607" t="s">
        <v>100</v>
      </c>
      <c r="AF458" s="211"/>
    </row>
    <row r="459" spans="1:32" s="112" customFormat="1" ht="15" customHeight="1" x14ac:dyDescent="0.25">
      <c r="B459" s="178" t="s">
        <v>479</v>
      </c>
      <c r="C459" s="318"/>
      <c r="D459" s="193" t="s">
        <v>50</v>
      </c>
      <c r="E459" s="317"/>
      <c r="F459" s="321">
        <v>3</v>
      </c>
      <c r="G459" s="317"/>
      <c r="H459" s="193" t="s">
        <v>51</v>
      </c>
      <c r="I459" s="100"/>
      <c r="J459" s="321">
        <v>1</v>
      </c>
      <c r="K459" s="322"/>
      <c r="L459" s="193"/>
      <c r="M459" s="317"/>
      <c r="N459" s="323"/>
      <c r="O459" s="323"/>
      <c r="P459" s="321">
        <f>+'Staff Detail'!B50</f>
        <v>75</v>
      </c>
      <c r="Q459" s="322"/>
      <c r="R459" s="327">
        <f t="shared" ref="R459" si="399">P459/$V$6</f>
        <v>21.428571428571427</v>
      </c>
      <c r="S459" s="322"/>
      <c r="T459" s="319">
        <f t="shared" ref="T459" si="400">IF(N459=0,IF(J459=0,F459*P459,F459*J459*P459),F459*J459*N459*P459)</f>
        <v>225</v>
      </c>
      <c r="U459" s="317"/>
      <c r="V459" s="319">
        <f t="shared" ref="V459" si="401">T459/$V$6</f>
        <v>64.285714285714292</v>
      </c>
      <c r="W459" s="320"/>
      <c r="X459" s="337">
        <f t="shared" ref="X459" si="402">V459/$V$3</f>
        <v>2.3926417652209103E-5</v>
      </c>
      <c r="Y459" s="167"/>
      <c r="Z459" s="326">
        <f t="shared" si="395"/>
        <v>3.4667173787033414E-5</v>
      </c>
      <c r="AA459" s="635">
        <v>1</v>
      </c>
      <c r="AB459" s="638">
        <f t="shared" si="396"/>
        <v>64.285714285714292</v>
      </c>
      <c r="AC459" s="636">
        <f t="shared" ref="AC459" si="403">+AD459/V459</f>
        <v>0</v>
      </c>
      <c r="AD459" s="292">
        <f t="shared" si="398"/>
        <v>0</v>
      </c>
      <c r="AE459" s="607" t="s">
        <v>102</v>
      </c>
      <c r="AF459" s="211"/>
    </row>
    <row r="460" spans="1:32" s="491" customFormat="1" ht="15" customHeight="1" x14ac:dyDescent="0.25">
      <c r="B460" s="178" t="s">
        <v>480</v>
      </c>
      <c r="C460" s="478"/>
      <c r="D460" s="479" t="s">
        <v>50</v>
      </c>
      <c r="E460" s="480"/>
      <c r="F460" s="321">
        <f>F456</f>
        <v>354</v>
      </c>
      <c r="G460" s="480"/>
      <c r="H460" s="479" t="s">
        <v>131</v>
      </c>
      <c r="I460" s="482"/>
      <c r="J460" s="321">
        <v>2</v>
      </c>
      <c r="K460" s="483"/>
      <c r="L460" s="479"/>
      <c r="M460" s="478"/>
      <c r="N460" s="478"/>
      <c r="O460" s="478"/>
      <c r="P460" s="321">
        <v>15</v>
      </c>
      <c r="Q460" s="483"/>
      <c r="R460" s="327">
        <f>P460/$V$6</f>
        <v>4.2857142857142856</v>
      </c>
      <c r="S460" s="483"/>
      <c r="T460" s="485">
        <f t="shared" si="392"/>
        <v>10620</v>
      </c>
      <c r="U460" s="480"/>
      <c r="V460" s="485">
        <f t="shared" si="393"/>
        <v>3034.2857142857142</v>
      </c>
      <c r="W460" s="486"/>
      <c r="X460" s="487">
        <f t="shared" si="394"/>
        <v>1.1293269131842697E-3</v>
      </c>
      <c r="Y460" s="488"/>
      <c r="Z460" s="489">
        <f t="shared" si="395"/>
        <v>1.6362906027479768E-3</v>
      </c>
      <c r="AA460" s="635">
        <v>1</v>
      </c>
      <c r="AB460" s="638">
        <f t="shared" si="396"/>
        <v>3034.2857142857142</v>
      </c>
      <c r="AC460" s="636">
        <f t="shared" si="397"/>
        <v>0</v>
      </c>
      <c r="AD460" s="292">
        <f t="shared" si="398"/>
        <v>0</v>
      </c>
      <c r="AE460" s="607" t="s">
        <v>102</v>
      </c>
      <c r="AF460" s="490"/>
    </row>
    <row r="461" spans="1:32" s="112" customFormat="1" ht="15" customHeight="1" x14ac:dyDescent="0.25">
      <c r="B461" s="178" t="s">
        <v>17</v>
      </c>
      <c r="C461" s="318"/>
      <c r="D461" s="193" t="s">
        <v>98</v>
      </c>
      <c r="E461" s="317"/>
      <c r="F461" s="321">
        <v>3</v>
      </c>
      <c r="G461" s="317"/>
      <c r="H461" s="193" t="s">
        <v>54</v>
      </c>
      <c r="I461" s="100"/>
      <c r="J461" s="321">
        <f>11*3</f>
        <v>33</v>
      </c>
      <c r="K461" s="164"/>
      <c r="L461" s="193" t="s">
        <v>51</v>
      </c>
      <c r="M461" s="163"/>
      <c r="N461" s="321">
        <v>7</v>
      </c>
      <c r="O461" s="165"/>
      <c r="P461" s="321">
        <v>3.3</v>
      </c>
      <c r="Q461" s="322"/>
      <c r="R461" s="327">
        <f t="shared" ref="R461" si="404">P461/$V$6</f>
        <v>0.94285714285714284</v>
      </c>
      <c r="S461" s="322"/>
      <c r="T461" s="319">
        <f t="shared" si="392"/>
        <v>2286.9</v>
      </c>
      <c r="U461" s="317"/>
      <c r="V461" s="319">
        <f t="shared" si="393"/>
        <v>653.4</v>
      </c>
      <c r="W461" s="320"/>
      <c r="X461" s="337">
        <f t="shared" si="394"/>
        <v>2.4318810901705331E-4</v>
      </c>
      <c r="Y461" s="167"/>
      <c r="Z461" s="326">
        <f t="shared" si="395"/>
        <v>3.5235715437140756E-4</v>
      </c>
      <c r="AA461" s="635">
        <v>1</v>
      </c>
      <c r="AB461" s="638">
        <f t="shared" si="396"/>
        <v>653.4</v>
      </c>
      <c r="AC461" s="636">
        <f t="shared" si="397"/>
        <v>0</v>
      </c>
      <c r="AD461" s="292">
        <f t="shared" si="398"/>
        <v>0</v>
      </c>
      <c r="AE461" s="611" t="s">
        <v>55</v>
      </c>
      <c r="AF461" s="211"/>
    </row>
    <row r="462" spans="1:32" s="112" customFormat="1" ht="15" customHeight="1" thickBot="1" x14ac:dyDescent="0.3">
      <c r="A462" s="112" t="s">
        <v>321</v>
      </c>
      <c r="B462" s="468" t="s">
        <v>96</v>
      </c>
      <c r="C462" s="318"/>
      <c r="D462" s="324"/>
      <c r="E462" s="317"/>
      <c r="F462" s="322"/>
      <c r="G462" s="317"/>
      <c r="H462" s="324"/>
      <c r="I462" s="317"/>
      <c r="J462" s="162"/>
      <c r="K462" s="322"/>
      <c r="L462" s="323"/>
      <c r="M462" s="323"/>
      <c r="N462" s="166"/>
      <c r="O462" s="323"/>
      <c r="P462" s="322"/>
      <c r="Q462" s="322"/>
      <c r="R462" s="322"/>
      <c r="S462" s="322"/>
      <c r="T462" s="296">
        <f>SUM(T455:T461)</f>
        <v>29755.63</v>
      </c>
      <c r="U462" s="296">
        <f>SUM(U455:U461)</f>
        <v>0</v>
      </c>
      <c r="V462" s="296">
        <f>SUM(V455:V461)</f>
        <v>8501.6085714285709</v>
      </c>
      <c r="W462" s="134"/>
      <c r="X462" s="359">
        <f>SUM(X455:X461)</f>
        <v>3.1642028039315677E-3</v>
      </c>
      <c r="Y462" s="469"/>
      <c r="Z462" s="286">
        <f t="shared" si="395"/>
        <v>4.5846382060118441E-3</v>
      </c>
      <c r="AA462" s="668"/>
      <c r="AB462" s="296">
        <f>SUM(AB455:AB461)</f>
        <v>8501.6085714285709</v>
      </c>
      <c r="AC462" s="637"/>
      <c r="AD462" s="296">
        <f>SUM(AD455:AD461)</f>
        <v>0</v>
      </c>
      <c r="AE462" s="607"/>
      <c r="AF462" s="211"/>
    </row>
    <row r="463" spans="1:32" s="112" customFormat="1" ht="15" customHeight="1" x14ac:dyDescent="0.25">
      <c r="B463" s="470"/>
      <c r="C463" s="318"/>
      <c r="D463" s="324"/>
      <c r="E463" s="100"/>
      <c r="F463" s="322"/>
      <c r="G463" s="94"/>
      <c r="H463" s="324"/>
      <c r="I463" s="100"/>
      <c r="J463" s="162"/>
      <c r="K463" s="164"/>
      <c r="L463" s="323"/>
      <c r="M463" s="323"/>
      <c r="N463" s="166"/>
      <c r="O463" s="323"/>
      <c r="P463" s="322"/>
      <c r="Q463" s="322"/>
      <c r="R463" s="322"/>
      <c r="S463" s="322"/>
      <c r="T463" s="134"/>
      <c r="U463" s="318"/>
      <c r="V463" s="134"/>
      <c r="W463" s="134"/>
      <c r="X463" s="355"/>
      <c r="Y463" s="469"/>
      <c r="Z463" s="290"/>
      <c r="AA463" s="94"/>
      <c r="AB463" s="648"/>
      <c r="AC463" s="94"/>
      <c r="AD463" s="94"/>
      <c r="AE463" s="607"/>
      <c r="AF463" s="211"/>
    </row>
    <row r="464" spans="1:32" s="112" customFormat="1" ht="15" customHeight="1" x14ac:dyDescent="0.25">
      <c r="B464" s="177" t="s">
        <v>532</v>
      </c>
      <c r="C464" s="318"/>
      <c r="D464" s="324"/>
      <c r="E464" s="100"/>
      <c r="F464" s="322"/>
      <c r="G464" s="94"/>
      <c r="H464" s="324"/>
      <c r="I464" s="100"/>
      <c r="J464" s="162"/>
      <c r="K464" s="164"/>
      <c r="L464" s="323"/>
      <c r="M464" s="323"/>
      <c r="N464" s="166"/>
      <c r="O464" s="323"/>
      <c r="P464" s="322"/>
      <c r="Q464" s="322"/>
      <c r="R464" s="322"/>
      <c r="S464" s="322"/>
      <c r="T464" s="302"/>
      <c r="U464" s="318"/>
      <c r="V464" s="302"/>
      <c r="W464" s="134"/>
      <c r="X464" s="344"/>
      <c r="Y464" s="240"/>
      <c r="Z464" s="290"/>
      <c r="AA464" s="94"/>
      <c r="AB464" s="648"/>
      <c r="AC464" s="94"/>
      <c r="AD464" s="94"/>
      <c r="AE464" s="607"/>
      <c r="AF464" s="211"/>
    </row>
    <row r="465" spans="1:32" s="491" customFormat="1" ht="15" customHeight="1" x14ac:dyDescent="0.25">
      <c r="B465" s="306" t="s">
        <v>500</v>
      </c>
      <c r="C465" s="478"/>
      <c r="D465" s="479" t="s">
        <v>50</v>
      </c>
      <c r="E465" s="482"/>
      <c r="F465" s="321">
        <v>3</v>
      </c>
      <c r="G465" s="659"/>
      <c r="H465" s="479" t="s">
        <v>51</v>
      </c>
      <c r="I465" s="482"/>
      <c r="J465" s="481">
        <v>6</v>
      </c>
      <c r="K465" s="541"/>
      <c r="L465" s="479"/>
      <c r="M465" s="480"/>
      <c r="N465" s="478"/>
      <c r="O465" s="478"/>
      <c r="P465" s="481">
        <f>+P455</f>
        <v>119.56</v>
      </c>
      <c r="Q465" s="483"/>
      <c r="R465" s="484">
        <f t="shared" ref="R465:R469" si="405">P465/$V$6</f>
        <v>34.160000000000004</v>
      </c>
      <c r="S465" s="483"/>
      <c r="T465" s="485">
        <f t="shared" ref="T465:T469" si="406">IF(N465=0,IF(J465=0,F465*P465,F465*J465*P465),F465*J465*N465*P465)</f>
        <v>2152.08</v>
      </c>
      <c r="U465" s="480"/>
      <c r="V465" s="485">
        <f t="shared" ref="V465:V469" si="407">T465/$V$6</f>
        <v>614.88</v>
      </c>
      <c r="W465" s="486"/>
      <c r="X465" s="487">
        <f t="shared" ref="X465:X469" si="408">V465/$V$3</f>
        <v>2.2885139955984961E-4</v>
      </c>
      <c r="Y465" s="488"/>
      <c r="Z465" s="489"/>
      <c r="AA465" s="660">
        <v>1</v>
      </c>
      <c r="AB465" s="661">
        <f>+W465+V465*AA465</f>
        <v>614.88</v>
      </c>
      <c r="AC465" s="636">
        <f t="shared" ref="AC465:AC467" si="409">+AD465/V465</f>
        <v>0</v>
      </c>
      <c r="AD465" s="483">
        <f>+V465-AB465</f>
        <v>0</v>
      </c>
      <c r="AE465" s="607"/>
      <c r="AF465" s="490"/>
    </row>
    <row r="466" spans="1:32" s="491" customFormat="1" ht="15" customHeight="1" x14ac:dyDescent="0.25">
      <c r="B466" s="178" t="s">
        <v>410</v>
      </c>
      <c r="C466" s="478"/>
      <c r="D466" s="479" t="s">
        <v>252</v>
      </c>
      <c r="E466" s="482"/>
      <c r="F466" s="321">
        <f>322+32</f>
        <v>354</v>
      </c>
      <c r="G466" s="659"/>
      <c r="H466" s="479" t="s">
        <v>51</v>
      </c>
      <c r="I466" s="482"/>
      <c r="J466" s="481">
        <v>6</v>
      </c>
      <c r="K466" s="541"/>
      <c r="L466" s="479"/>
      <c r="M466" s="480"/>
      <c r="N466" s="478"/>
      <c r="O466" s="478"/>
      <c r="P466" s="321">
        <v>30</v>
      </c>
      <c r="Q466" s="483"/>
      <c r="R466" s="484">
        <f t="shared" si="405"/>
        <v>8.5714285714285712</v>
      </c>
      <c r="S466" s="483"/>
      <c r="T466" s="485">
        <f t="shared" si="406"/>
        <v>63720</v>
      </c>
      <c r="U466" s="480"/>
      <c r="V466" s="485">
        <f t="shared" si="407"/>
        <v>18205.714285714286</v>
      </c>
      <c r="W466" s="486"/>
      <c r="X466" s="487">
        <f t="shared" si="408"/>
        <v>6.7759614791056176E-3</v>
      </c>
      <c r="Y466" s="488"/>
      <c r="Z466" s="489"/>
      <c r="AA466" s="660">
        <v>1</v>
      </c>
      <c r="AB466" s="661">
        <f>+W466+V466*AA466</f>
        <v>18205.714285714286</v>
      </c>
      <c r="AC466" s="636">
        <f t="shared" si="409"/>
        <v>0</v>
      </c>
      <c r="AD466" s="483">
        <f>+V466-AB466</f>
        <v>0</v>
      </c>
      <c r="AE466" s="607"/>
      <c r="AF466" s="490"/>
    </row>
    <row r="467" spans="1:32" s="112" customFormat="1" ht="15" customHeight="1" x14ac:dyDescent="0.25">
      <c r="B467" s="178" t="s">
        <v>466</v>
      </c>
      <c r="C467" s="318"/>
      <c r="D467" s="193" t="s">
        <v>50</v>
      </c>
      <c r="E467" s="317"/>
      <c r="F467" s="321">
        <v>3</v>
      </c>
      <c r="G467" s="317"/>
      <c r="H467" s="193" t="s">
        <v>51</v>
      </c>
      <c r="I467" s="100"/>
      <c r="J467" s="321">
        <v>5</v>
      </c>
      <c r="K467" s="322"/>
      <c r="L467" s="193"/>
      <c r="M467" s="317"/>
      <c r="N467" s="323"/>
      <c r="O467" s="323"/>
      <c r="P467" s="321">
        <f>+'Staff Detail'!B$16</f>
        <v>89.67</v>
      </c>
      <c r="Q467" s="322"/>
      <c r="R467" s="327">
        <f t="shared" si="405"/>
        <v>25.62</v>
      </c>
      <c r="S467" s="322"/>
      <c r="T467" s="319">
        <f t="shared" si="406"/>
        <v>1345.05</v>
      </c>
      <c r="U467" s="317"/>
      <c r="V467" s="319">
        <f t="shared" si="407"/>
        <v>384.3</v>
      </c>
      <c r="W467" s="320"/>
      <c r="X467" s="337">
        <f t="shared" si="408"/>
        <v>1.4303212472490602E-4</v>
      </c>
      <c r="Y467" s="167"/>
      <c r="Z467" s="326">
        <f>V467/$V$601</f>
        <v>2.0724036489888574E-4</v>
      </c>
      <c r="AA467" s="635">
        <v>1</v>
      </c>
      <c r="AB467" s="638">
        <f>+W467+V467*AA467</f>
        <v>384.3</v>
      </c>
      <c r="AC467" s="636">
        <f t="shared" si="409"/>
        <v>0</v>
      </c>
      <c r="AD467" s="292">
        <f>+V467-AB467</f>
        <v>0</v>
      </c>
      <c r="AE467" s="607"/>
      <c r="AF467" s="211"/>
    </row>
    <row r="468" spans="1:32" s="491" customFormat="1" ht="15" customHeight="1" x14ac:dyDescent="0.25">
      <c r="B468" s="178" t="s">
        <v>16</v>
      </c>
      <c r="C468" s="478"/>
      <c r="D468" s="479" t="s">
        <v>50</v>
      </c>
      <c r="E468" s="480"/>
      <c r="F468" s="321">
        <f>322+32</f>
        <v>354</v>
      </c>
      <c r="G468" s="480"/>
      <c r="H468" s="479" t="s">
        <v>51</v>
      </c>
      <c r="I468" s="482"/>
      <c r="J468" s="481">
        <v>6</v>
      </c>
      <c r="K468" s="483"/>
      <c r="L468" s="479"/>
      <c r="M468" s="478"/>
      <c r="N468" s="478"/>
      <c r="O468" s="478"/>
      <c r="P468" s="481">
        <v>15</v>
      </c>
      <c r="Q468" s="483"/>
      <c r="R468" s="484">
        <f t="shared" si="405"/>
        <v>4.2857142857142856</v>
      </c>
      <c r="S468" s="483"/>
      <c r="T468" s="485">
        <f t="shared" si="406"/>
        <v>31860</v>
      </c>
      <c r="U468" s="480"/>
      <c r="V468" s="485">
        <f t="shared" si="407"/>
        <v>9102.8571428571431</v>
      </c>
      <c r="W468" s="486"/>
      <c r="X468" s="487">
        <f t="shared" si="408"/>
        <v>3.3879807395528088E-3</v>
      </c>
      <c r="Y468" s="488"/>
      <c r="Z468" s="489">
        <f>V468/$V$601</f>
        <v>4.9088718082439314E-3</v>
      </c>
      <c r="AA468" s="660">
        <v>1</v>
      </c>
      <c r="AB468" s="661">
        <f>+W468+V468*AA468</f>
        <v>9102.8571428571431</v>
      </c>
      <c r="AC468" s="662">
        <f t="shared" ref="AC468:AC469" si="410">+AD468/V468</f>
        <v>0</v>
      </c>
      <c r="AD468" s="483">
        <f>+V468-AB468</f>
        <v>0</v>
      </c>
      <c r="AE468" s="607" t="s">
        <v>102</v>
      </c>
      <c r="AF468" s="490"/>
    </row>
    <row r="469" spans="1:32" s="112" customFormat="1" ht="15" customHeight="1" x14ac:dyDescent="0.25">
      <c r="B469" s="178" t="s">
        <v>17</v>
      </c>
      <c r="C469" s="318"/>
      <c r="D469" s="193" t="s">
        <v>98</v>
      </c>
      <c r="E469" s="317"/>
      <c r="F469" s="321">
        <v>3</v>
      </c>
      <c r="G469" s="317"/>
      <c r="H469" s="193" t="s">
        <v>54</v>
      </c>
      <c r="I469" s="100"/>
      <c r="J469" s="321">
        <v>45</v>
      </c>
      <c r="K469" s="164"/>
      <c r="L469" s="193" t="s">
        <v>51</v>
      </c>
      <c r="M469" s="163"/>
      <c r="N469" s="321">
        <v>6</v>
      </c>
      <c r="O469" s="165"/>
      <c r="P469" s="321">
        <v>3.3</v>
      </c>
      <c r="Q469" s="322"/>
      <c r="R469" s="484">
        <f t="shared" si="405"/>
        <v>0.94285714285714284</v>
      </c>
      <c r="S469" s="322"/>
      <c r="T469" s="319">
        <f t="shared" si="406"/>
        <v>2673</v>
      </c>
      <c r="U469" s="317"/>
      <c r="V469" s="485">
        <f t="shared" si="407"/>
        <v>763.71428571428567</v>
      </c>
      <c r="W469" s="320"/>
      <c r="X469" s="487">
        <f t="shared" si="408"/>
        <v>2.8424584170824409E-4</v>
      </c>
      <c r="Y469" s="167"/>
      <c r="Z469" s="326">
        <f>V469/$V$601</f>
        <v>4.1184602458995692E-4</v>
      </c>
      <c r="AA469" s="635">
        <v>1</v>
      </c>
      <c r="AB469" s="638">
        <f>+W469+V469*AA469</f>
        <v>763.71428571428567</v>
      </c>
      <c r="AC469" s="636">
        <f t="shared" si="410"/>
        <v>0</v>
      </c>
      <c r="AD469" s="292">
        <f>+V469-AB469</f>
        <v>0</v>
      </c>
      <c r="AE469" s="611" t="s">
        <v>55</v>
      </c>
      <c r="AF469" s="211"/>
    </row>
    <row r="470" spans="1:32" s="112" customFormat="1" ht="15" customHeight="1" thickBot="1" x14ac:dyDescent="0.3">
      <c r="A470" s="112" t="s">
        <v>322</v>
      </c>
      <c r="B470" s="468" t="s">
        <v>96</v>
      </c>
      <c r="C470" s="318"/>
      <c r="D470" s="324"/>
      <c r="E470" s="317"/>
      <c r="F470" s="322"/>
      <c r="G470" s="317"/>
      <c r="H470" s="324"/>
      <c r="I470" s="317"/>
      <c r="J470" s="162"/>
      <c r="K470" s="322"/>
      <c r="L470" s="323"/>
      <c r="M470" s="323"/>
      <c r="N470" s="166"/>
      <c r="O470" s="323"/>
      <c r="P470" s="322"/>
      <c r="Q470" s="322"/>
      <c r="R470" s="322"/>
      <c r="S470" s="322"/>
      <c r="T470" s="296">
        <f>SUM(T465:T469)</f>
        <v>101750.13</v>
      </c>
      <c r="U470" s="318"/>
      <c r="V470" s="296">
        <f>SUM(V465:V469)</f>
        <v>29071.465714285714</v>
      </c>
      <c r="W470" s="134"/>
      <c r="X470" s="670">
        <f>SUM(X465:X469)</f>
        <v>1.0820071584651427E-2</v>
      </c>
      <c r="Y470" s="469"/>
      <c r="Z470" s="286">
        <f>V470/$V$601</f>
        <v>1.5677286398058852E-2</v>
      </c>
      <c r="AA470" s="668"/>
      <c r="AB470" s="296">
        <f>SUM(AB465:AB469)</f>
        <v>29071.465714285714</v>
      </c>
      <c r="AC470" s="637"/>
      <c r="AD470" s="296">
        <f>SUM(AD465:AD469)</f>
        <v>0</v>
      </c>
      <c r="AE470" s="607"/>
      <c r="AF470" s="211"/>
    </row>
    <row r="471" spans="1:32" s="112" customFormat="1" ht="15" customHeight="1" thickBot="1" x14ac:dyDescent="0.3">
      <c r="B471" s="470"/>
      <c r="C471" s="318"/>
      <c r="D471" s="324"/>
      <c r="E471" s="100"/>
      <c r="F471" s="322"/>
      <c r="G471" s="94"/>
      <c r="H471" s="324"/>
      <c r="I471" s="100"/>
      <c r="J471" s="162"/>
      <c r="K471" s="164"/>
      <c r="L471" s="323"/>
      <c r="M471" s="323"/>
      <c r="N471" s="166"/>
      <c r="O471" s="323"/>
      <c r="P471" s="322"/>
      <c r="Q471" s="322"/>
      <c r="R471" s="322"/>
      <c r="S471" s="322"/>
      <c r="T471" s="134"/>
      <c r="U471" s="318"/>
      <c r="V471" s="134"/>
      <c r="W471" s="134"/>
      <c r="X471" s="355"/>
      <c r="Y471" s="469"/>
      <c r="Z471" s="286"/>
      <c r="AA471" s="94"/>
      <c r="AB471" s="648"/>
      <c r="AC471" s="94"/>
      <c r="AD471" s="94"/>
      <c r="AE471" s="607"/>
      <c r="AF471" s="211"/>
    </row>
    <row r="472" spans="1:32" s="112" customFormat="1" ht="15" customHeight="1" x14ac:dyDescent="0.25">
      <c r="B472" s="470"/>
      <c r="C472" s="318"/>
      <c r="D472" s="324"/>
      <c r="E472" s="100"/>
      <c r="F472" s="322"/>
      <c r="G472" s="94"/>
      <c r="H472" s="324"/>
      <c r="I472" s="100"/>
      <c r="J472" s="162"/>
      <c r="K472" s="164"/>
      <c r="L472" s="323"/>
      <c r="M472" s="323"/>
      <c r="N472" s="166"/>
      <c r="O472" s="323"/>
      <c r="P472" s="322"/>
      <c r="Q472" s="322"/>
      <c r="R472" s="322"/>
      <c r="S472" s="322"/>
      <c r="T472" s="134"/>
      <c r="U472" s="318"/>
      <c r="V472" s="134"/>
      <c r="W472" s="134"/>
      <c r="X472" s="355"/>
      <c r="Y472" s="469"/>
      <c r="Z472" s="290"/>
      <c r="AA472" s="94"/>
      <c r="AB472" s="648"/>
      <c r="AC472" s="94"/>
      <c r="AD472" s="94"/>
      <c r="AE472" s="607"/>
      <c r="AF472" s="211"/>
    </row>
    <row r="473" spans="1:32" s="112" customFormat="1" ht="15" customHeight="1" x14ac:dyDescent="0.25">
      <c r="B473" s="187" t="s">
        <v>533</v>
      </c>
      <c r="C473" s="318"/>
      <c r="D473" s="324"/>
      <c r="E473" s="317"/>
      <c r="F473" s="322"/>
      <c r="G473" s="317"/>
      <c r="H473" s="324"/>
      <c r="I473" s="317"/>
      <c r="J473" s="322"/>
      <c r="K473" s="322"/>
      <c r="L473" s="323"/>
      <c r="M473" s="323"/>
      <c r="N473" s="323"/>
      <c r="O473" s="323"/>
      <c r="P473" s="322"/>
      <c r="Q473" s="322"/>
      <c r="R473" s="322"/>
      <c r="S473" s="322"/>
      <c r="T473" s="320"/>
      <c r="U473" s="317"/>
      <c r="V473" s="320"/>
      <c r="W473" s="320"/>
      <c r="X473" s="349"/>
      <c r="Y473" s="477"/>
      <c r="Z473" s="290"/>
      <c r="AA473" s="94"/>
      <c r="AB473" s="648"/>
      <c r="AC473" s="94"/>
      <c r="AD473" s="94"/>
      <c r="AE473" s="607"/>
      <c r="AF473" s="211"/>
    </row>
    <row r="474" spans="1:32" s="112" customFormat="1" ht="15" customHeight="1" x14ac:dyDescent="0.25">
      <c r="B474" s="325" t="s">
        <v>317</v>
      </c>
      <c r="C474" s="318"/>
      <c r="D474" s="324" t="s">
        <v>60</v>
      </c>
      <c r="E474" s="317"/>
      <c r="F474" s="322">
        <f>(322)*2</f>
        <v>644</v>
      </c>
      <c r="G474" s="317"/>
      <c r="H474" s="324"/>
      <c r="I474" s="317"/>
      <c r="J474" s="162"/>
      <c r="K474" s="322"/>
      <c r="L474" s="323"/>
      <c r="M474" s="323"/>
      <c r="N474" s="323"/>
      <c r="O474" s="323"/>
      <c r="P474" s="732">
        <v>0.3</v>
      </c>
      <c r="Q474" s="606"/>
      <c r="R474" s="729">
        <f t="shared" ref="R474:R478" si="411">P474/$V$6</f>
        <v>8.5714285714285715E-2</v>
      </c>
      <c r="S474" s="322"/>
      <c r="T474" s="320">
        <f t="shared" ref="T474:T478" si="412">+P474*F474</f>
        <v>193.2</v>
      </c>
      <c r="U474" s="317"/>
      <c r="V474" s="320">
        <f t="shared" ref="V474:V478" si="413">T474/$V$6</f>
        <v>55.199999999999996</v>
      </c>
      <c r="W474" s="320"/>
      <c r="X474" s="349">
        <f t="shared" ref="X474:X478" si="414">V474/$V$3</f>
        <v>2.0544817290696879E-5</v>
      </c>
      <c r="Y474" s="477"/>
      <c r="Z474" s="290">
        <f t="shared" ref="Z474:Z479" si="415">V474/$V$601</f>
        <v>2.9767546558466019E-5</v>
      </c>
      <c r="AA474" s="635">
        <v>1</v>
      </c>
      <c r="AB474" s="638">
        <f>+W474+V474*AA474</f>
        <v>55.199999999999996</v>
      </c>
      <c r="AC474" s="636">
        <f t="shared" ref="AC474:AC478" si="416">+AD474/V474</f>
        <v>0</v>
      </c>
      <c r="AD474" s="292">
        <f>+V474-AB474</f>
        <v>0</v>
      </c>
      <c r="AE474" s="607" t="s">
        <v>61</v>
      </c>
      <c r="AF474" s="211"/>
    </row>
    <row r="475" spans="1:32" s="112" customFormat="1" ht="15" customHeight="1" x14ac:dyDescent="0.25">
      <c r="B475" s="325" t="s">
        <v>272</v>
      </c>
      <c r="C475" s="318"/>
      <c r="D475" s="324" t="s">
        <v>60</v>
      </c>
      <c r="E475" s="317"/>
      <c r="F475" s="322">
        <v>350</v>
      </c>
      <c r="G475" s="317"/>
      <c r="H475" s="324"/>
      <c r="I475" s="317"/>
      <c r="J475" s="162"/>
      <c r="K475" s="322"/>
      <c r="L475" s="323"/>
      <c r="M475" s="323"/>
      <c r="N475" s="323"/>
      <c r="O475" s="323"/>
      <c r="P475" s="732">
        <v>3</v>
      </c>
      <c r="Q475" s="606"/>
      <c r="R475" s="729">
        <f t="shared" si="411"/>
        <v>0.8571428571428571</v>
      </c>
      <c r="S475" s="322"/>
      <c r="T475" s="320">
        <f t="shared" si="412"/>
        <v>1050</v>
      </c>
      <c r="U475" s="317"/>
      <c r="V475" s="320">
        <f t="shared" si="413"/>
        <v>300</v>
      </c>
      <c r="W475" s="320"/>
      <c r="X475" s="349">
        <f t="shared" si="414"/>
        <v>1.1165661571030914E-4</v>
      </c>
      <c r="Y475" s="477"/>
      <c r="Z475" s="290">
        <f t="shared" si="415"/>
        <v>1.6178014433948924E-4</v>
      </c>
      <c r="AA475" s="635">
        <v>1</v>
      </c>
      <c r="AB475" s="638">
        <f>+W475+V475*AA475</f>
        <v>300</v>
      </c>
      <c r="AC475" s="636">
        <f t="shared" si="416"/>
        <v>0</v>
      </c>
      <c r="AD475" s="292">
        <f>+V475-AB475</f>
        <v>0</v>
      </c>
      <c r="AE475" s="607" t="s">
        <v>61</v>
      </c>
      <c r="AF475" s="211"/>
    </row>
    <row r="476" spans="1:32" s="112" customFormat="1" ht="15" customHeight="1" x14ac:dyDescent="0.25">
      <c r="B476" s="325" t="s">
        <v>18</v>
      </c>
      <c r="C476" s="318"/>
      <c r="D476" s="324" t="s">
        <v>60</v>
      </c>
      <c r="E476" s="317"/>
      <c r="F476" s="322">
        <v>0</v>
      </c>
      <c r="G476" s="317"/>
      <c r="H476" s="324"/>
      <c r="I476" s="317"/>
      <c r="J476" s="162"/>
      <c r="K476" s="322"/>
      <c r="L476" s="323"/>
      <c r="M476" s="323"/>
      <c r="N476" s="323"/>
      <c r="O476" s="323"/>
      <c r="P476" s="732">
        <v>0</v>
      </c>
      <c r="Q476" s="606"/>
      <c r="R476" s="729">
        <f t="shared" si="411"/>
        <v>0</v>
      </c>
      <c r="S476" s="322"/>
      <c r="T476" s="320">
        <f t="shared" si="412"/>
        <v>0</v>
      </c>
      <c r="U476" s="317"/>
      <c r="V476" s="320">
        <f t="shared" si="413"/>
        <v>0</v>
      </c>
      <c r="W476" s="320"/>
      <c r="X476" s="349">
        <f t="shared" si="414"/>
        <v>0</v>
      </c>
      <c r="Y476" s="477"/>
      <c r="Z476" s="290">
        <f t="shared" si="415"/>
        <v>0</v>
      </c>
      <c r="AA476" s="635">
        <v>1</v>
      </c>
      <c r="AB476" s="638">
        <f>+W476+V476*AA476</f>
        <v>0</v>
      </c>
      <c r="AC476" s="636" t="e">
        <f t="shared" si="416"/>
        <v>#DIV/0!</v>
      </c>
      <c r="AD476" s="292">
        <f>+V476-AB476</f>
        <v>0</v>
      </c>
      <c r="AE476" s="607" t="s">
        <v>61</v>
      </c>
      <c r="AF476" s="211"/>
    </row>
    <row r="477" spans="1:32" s="112" customFormat="1" ht="15" customHeight="1" x14ac:dyDescent="0.25">
      <c r="B477" s="325" t="s">
        <v>20</v>
      </c>
      <c r="C477" s="317"/>
      <c r="D477" s="324" t="s">
        <v>60</v>
      </c>
      <c r="E477" s="317"/>
      <c r="F477" s="322">
        <v>0</v>
      </c>
      <c r="G477" s="317"/>
      <c r="H477" s="324"/>
      <c r="I477" s="317"/>
      <c r="J477" s="322"/>
      <c r="K477" s="322"/>
      <c r="L477" s="323"/>
      <c r="M477" s="323"/>
      <c r="N477" s="323"/>
      <c r="O477" s="323"/>
      <c r="P477" s="732">
        <v>0</v>
      </c>
      <c r="Q477" s="606"/>
      <c r="R477" s="729">
        <f t="shared" si="411"/>
        <v>0</v>
      </c>
      <c r="S477" s="322"/>
      <c r="T477" s="320">
        <f t="shared" si="412"/>
        <v>0</v>
      </c>
      <c r="U477" s="317"/>
      <c r="V477" s="320">
        <f t="shared" si="413"/>
        <v>0</v>
      </c>
      <c r="W477" s="320"/>
      <c r="X477" s="349">
        <f t="shared" si="414"/>
        <v>0</v>
      </c>
      <c r="Y477" s="477"/>
      <c r="Z477" s="290">
        <f t="shared" si="415"/>
        <v>0</v>
      </c>
      <c r="AA477" s="635">
        <v>1</v>
      </c>
      <c r="AB477" s="638">
        <f>+W477+V477*AA477</f>
        <v>0</v>
      </c>
      <c r="AC477" s="636" t="e">
        <f t="shared" si="416"/>
        <v>#DIV/0!</v>
      </c>
      <c r="AD477" s="292">
        <f>+V477-AB477</f>
        <v>0</v>
      </c>
      <c r="AE477" s="607" t="s">
        <v>61</v>
      </c>
    </row>
    <row r="478" spans="1:32" s="112" customFormat="1" ht="15" customHeight="1" x14ac:dyDescent="0.25">
      <c r="B478" s="325" t="s">
        <v>19</v>
      </c>
      <c r="C478" s="318"/>
      <c r="D478" s="324" t="s">
        <v>60</v>
      </c>
      <c r="E478" s="317"/>
      <c r="F478" s="322">
        <v>5</v>
      </c>
      <c r="G478" s="317"/>
      <c r="H478" s="324"/>
      <c r="I478" s="317"/>
      <c r="J478" s="162"/>
      <c r="K478" s="322"/>
      <c r="L478" s="323"/>
      <c r="M478" s="323"/>
      <c r="N478" s="323"/>
      <c r="O478" s="323"/>
      <c r="P478" s="732">
        <v>150</v>
      </c>
      <c r="Q478" s="606"/>
      <c r="R478" s="729">
        <f t="shared" si="411"/>
        <v>42.857142857142854</v>
      </c>
      <c r="S478" s="322"/>
      <c r="T478" s="320">
        <f t="shared" si="412"/>
        <v>750</v>
      </c>
      <c r="U478" s="317"/>
      <c r="V478" s="320">
        <f t="shared" si="413"/>
        <v>214.28571428571428</v>
      </c>
      <c r="W478" s="320"/>
      <c r="X478" s="349">
        <f t="shared" si="414"/>
        <v>7.9754725507363668E-5</v>
      </c>
      <c r="Y478" s="477"/>
      <c r="Z478" s="290">
        <f t="shared" si="415"/>
        <v>1.1555724595677803E-4</v>
      </c>
      <c r="AA478" s="635">
        <v>1</v>
      </c>
      <c r="AB478" s="638">
        <f>+W478+V478*AA478</f>
        <v>214.28571428571428</v>
      </c>
      <c r="AC478" s="636">
        <f t="shared" si="416"/>
        <v>0</v>
      </c>
      <c r="AD478" s="292">
        <f>+V478-AB478</f>
        <v>0</v>
      </c>
      <c r="AE478" s="607" t="s">
        <v>61</v>
      </c>
      <c r="AF478" s="211"/>
    </row>
    <row r="479" spans="1:32" s="112" customFormat="1" ht="15" customHeight="1" thickBot="1" x14ac:dyDescent="0.3">
      <c r="A479" s="112" t="s">
        <v>477</v>
      </c>
      <c r="B479" s="190" t="s">
        <v>62</v>
      </c>
      <c r="C479" s="318"/>
      <c r="D479" s="324"/>
      <c r="E479" s="317"/>
      <c r="F479" s="322"/>
      <c r="G479" s="317"/>
      <c r="H479" s="324"/>
      <c r="I479" s="317"/>
      <c r="J479" s="322"/>
      <c r="K479" s="322"/>
      <c r="L479" s="323"/>
      <c r="M479" s="323"/>
      <c r="N479" s="323"/>
      <c r="O479" s="323"/>
      <c r="P479" s="733"/>
      <c r="Q479" s="157"/>
      <c r="R479" s="730"/>
      <c r="S479" s="157"/>
      <c r="T479" s="544">
        <f>SUM(T474:T478)</f>
        <v>1993.2</v>
      </c>
      <c r="U479" s="131"/>
      <c r="V479" s="544">
        <f>SUM(V474:V478)</f>
        <v>569.48571428571427</v>
      </c>
      <c r="W479" s="132"/>
      <c r="X479" s="545">
        <f>SUM(X474:X478)</f>
        <v>2.1195615850836969E-4</v>
      </c>
      <c r="Y479" s="469"/>
      <c r="Z479" s="290">
        <f t="shared" si="415"/>
        <v>3.0710493685473327E-4</v>
      </c>
      <c r="AA479" s="668"/>
      <c r="AB479" s="544">
        <f>SUM(AB474:AB478)</f>
        <v>569.48571428571427</v>
      </c>
      <c r="AC479" s="637"/>
      <c r="AD479" s="544">
        <f>SUM(AD474:AD478)</f>
        <v>0</v>
      </c>
      <c r="AE479" s="607"/>
      <c r="AF479" s="211"/>
    </row>
    <row r="480" spans="1:32" s="112" customFormat="1" ht="15" customHeight="1" x14ac:dyDescent="0.25">
      <c r="B480" s="289"/>
      <c r="C480" s="318"/>
      <c r="D480" s="324"/>
      <c r="E480" s="100"/>
      <c r="F480" s="322"/>
      <c r="G480" s="94"/>
      <c r="H480" s="324"/>
      <c r="I480" s="100"/>
      <c r="J480" s="162"/>
      <c r="K480" s="164"/>
      <c r="L480" s="323"/>
      <c r="M480" s="323"/>
      <c r="N480" s="166"/>
      <c r="O480" s="323"/>
      <c r="P480" s="733"/>
      <c r="Q480" s="157"/>
      <c r="R480" s="730"/>
      <c r="S480" s="157"/>
      <c r="T480" s="529"/>
      <c r="U480" s="131"/>
      <c r="V480" s="529"/>
      <c r="W480" s="475"/>
      <c r="X480" s="538"/>
      <c r="Y480" s="469"/>
      <c r="Z480" s="290"/>
      <c r="AA480" s="94"/>
      <c r="AB480" s="648"/>
      <c r="AC480" s="94"/>
      <c r="AD480" s="94"/>
      <c r="AE480" s="607"/>
      <c r="AF480" s="211"/>
    </row>
    <row r="481" spans="1:32" s="112" customFormat="1" ht="15" customHeight="1" x14ac:dyDescent="0.25">
      <c r="B481" s="187" t="s">
        <v>540</v>
      </c>
      <c r="C481" s="318"/>
      <c r="D481" s="324"/>
      <c r="E481" s="317"/>
      <c r="F481" s="322"/>
      <c r="G481" s="317"/>
      <c r="H481" s="324"/>
      <c r="I481" s="317"/>
      <c r="J481" s="322"/>
      <c r="K481" s="322"/>
      <c r="L481" s="323"/>
      <c r="M481" s="323"/>
      <c r="N481" s="323"/>
      <c r="O481" s="323"/>
      <c r="P481" s="733"/>
      <c r="Q481" s="322"/>
      <c r="R481" s="729"/>
      <c r="S481" s="322"/>
      <c r="T481" s="110"/>
      <c r="U481" s="317"/>
      <c r="V481" s="110"/>
      <c r="W481" s="320"/>
      <c r="X481" s="349"/>
      <c r="Y481" s="477"/>
      <c r="Z481" s="290"/>
      <c r="AA481" s="94"/>
      <c r="AB481" s="648"/>
      <c r="AC481" s="94"/>
      <c r="AD481" s="94"/>
      <c r="AE481" s="607"/>
      <c r="AF481" s="211"/>
    </row>
    <row r="482" spans="1:32" s="112" customFormat="1" ht="15" customHeight="1" x14ac:dyDescent="0.25">
      <c r="B482" s="325" t="s">
        <v>573</v>
      </c>
      <c r="C482" s="318"/>
      <c r="D482" s="324" t="s">
        <v>98</v>
      </c>
      <c r="E482" s="317"/>
      <c r="F482" s="322">
        <v>9</v>
      </c>
      <c r="G482" s="317"/>
      <c r="H482" s="324"/>
      <c r="I482" s="317"/>
      <c r="J482" s="322"/>
      <c r="K482" s="322"/>
      <c r="L482" s="323"/>
      <c r="M482" s="323"/>
      <c r="N482" s="323"/>
      <c r="O482" s="323"/>
      <c r="P482" s="732">
        <f>+P323</f>
        <v>875</v>
      </c>
      <c r="Q482" s="606"/>
      <c r="R482" s="729">
        <f>P482/$V$6</f>
        <v>250</v>
      </c>
      <c r="S482" s="322"/>
      <c r="T482" s="320">
        <f>IF(N482=0,IF(J482=0,F482*P482,F482*J482*P482),F482*J482*N482*P482)</f>
        <v>7875</v>
      </c>
      <c r="U482" s="317"/>
      <c r="V482" s="320">
        <f>T482/$V$6</f>
        <v>2250</v>
      </c>
      <c r="W482" s="320"/>
      <c r="X482" s="349">
        <f>V482/$V$3</f>
        <v>8.3742461782731863E-4</v>
      </c>
      <c r="Y482" s="477"/>
      <c r="Z482" s="290">
        <f t="shared" ref="Z482:Z495" si="417">V482/$V$601</f>
        <v>1.2133510825461694E-3</v>
      </c>
      <c r="AA482" s="635">
        <v>1</v>
      </c>
      <c r="AB482" s="638">
        <f t="shared" ref="AB482:AB494" si="418">+W482+V482*AA482</f>
        <v>2250</v>
      </c>
      <c r="AC482" s="636">
        <f t="shared" ref="AC482:AC494" si="419">+AD482/V482</f>
        <v>0</v>
      </c>
      <c r="AD482" s="292">
        <f t="shared" ref="AD482:AD494" si="420">+V482-AB482</f>
        <v>0</v>
      </c>
      <c r="AE482" s="607" t="s">
        <v>64</v>
      </c>
      <c r="AF482" s="211"/>
    </row>
    <row r="483" spans="1:32" s="112" customFormat="1" ht="15" customHeight="1" x14ac:dyDescent="0.25">
      <c r="B483" s="325" t="s">
        <v>103</v>
      </c>
      <c r="C483" s="318"/>
      <c r="D483" s="324" t="s">
        <v>104</v>
      </c>
      <c r="E483" s="317"/>
      <c r="F483" s="322">
        <f>+F426</f>
        <v>9270</v>
      </c>
      <c r="G483" s="317"/>
      <c r="H483" s="324"/>
      <c r="I483" s="317"/>
      <c r="J483" s="322"/>
      <c r="K483" s="322"/>
      <c r="L483" s="323"/>
      <c r="M483" s="323"/>
      <c r="N483" s="323"/>
      <c r="O483" s="323"/>
      <c r="P483" s="732">
        <v>5</v>
      </c>
      <c r="Q483" s="606"/>
      <c r="R483" s="729">
        <f>P483/$V$6</f>
        <v>1.4285714285714286</v>
      </c>
      <c r="S483" s="322"/>
      <c r="T483" s="320">
        <f>IF(N483=0,IF(J483=0,F483*P483,F483*J483*P483),F483*J483*N483*P483)</f>
        <v>46350</v>
      </c>
      <c r="U483" s="317"/>
      <c r="V483" s="320">
        <f>T483/$V$6</f>
        <v>13242.857142857143</v>
      </c>
      <c r="W483" s="320"/>
      <c r="X483" s="349">
        <f>V483/$V$3</f>
        <v>4.9288420363550753E-3</v>
      </c>
      <c r="Y483" s="477"/>
      <c r="Z483" s="290">
        <f t="shared" si="417"/>
        <v>7.1414378001288829E-3</v>
      </c>
      <c r="AA483" s="635">
        <v>1</v>
      </c>
      <c r="AB483" s="638">
        <f t="shared" si="418"/>
        <v>13242.857142857143</v>
      </c>
      <c r="AC483" s="636">
        <f t="shared" si="419"/>
        <v>0</v>
      </c>
      <c r="AD483" s="292">
        <f t="shared" si="420"/>
        <v>0</v>
      </c>
      <c r="AE483" s="607" t="s">
        <v>64</v>
      </c>
      <c r="AF483" s="211"/>
    </row>
    <row r="484" spans="1:32" s="112" customFormat="1" ht="15" customHeight="1" x14ac:dyDescent="0.25">
      <c r="B484" s="289" t="s">
        <v>247</v>
      </c>
      <c r="C484" s="318"/>
      <c r="D484" s="324" t="s">
        <v>351</v>
      </c>
      <c r="E484" s="317"/>
      <c r="F484" s="322">
        <v>83</v>
      </c>
      <c r="G484" s="317"/>
      <c r="H484" s="324"/>
      <c r="I484" s="317"/>
      <c r="J484" s="322"/>
      <c r="K484" s="322"/>
      <c r="L484" s="323"/>
      <c r="M484" s="323"/>
      <c r="N484" s="323"/>
      <c r="O484" s="323"/>
      <c r="P484" s="732">
        <v>0</v>
      </c>
      <c r="Q484" s="606"/>
      <c r="R484" s="729">
        <f t="shared" ref="R484:R492" si="421">P484/$V$6</f>
        <v>0</v>
      </c>
      <c r="S484" s="322"/>
      <c r="T484" s="320">
        <f t="shared" ref="T484:T492" si="422">IF(N484=0,IF(J484=0,F484*P484,F484*J484*P484),F484*J484*N484*P484)</f>
        <v>0</v>
      </c>
      <c r="U484" s="317"/>
      <c r="V484" s="320">
        <f t="shared" ref="V484:V492" si="423">T484/$V$6</f>
        <v>0</v>
      </c>
      <c r="W484" s="320"/>
      <c r="X484" s="349">
        <f t="shared" ref="X484:X492" si="424">V484/$V$3</f>
        <v>0</v>
      </c>
      <c r="Y484" s="477"/>
      <c r="Z484" s="290">
        <f t="shared" si="417"/>
        <v>0</v>
      </c>
      <c r="AA484" s="635">
        <v>1</v>
      </c>
      <c r="AB484" s="638">
        <f t="shared" si="418"/>
        <v>0</v>
      </c>
      <c r="AC484" s="636" t="e">
        <f t="shared" si="419"/>
        <v>#DIV/0!</v>
      </c>
      <c r="AD484" s="292">
        <f t="shared" si="420"/>
        <v>0</v>
      </c>
      <c r="AE484" s="607"/>
      <c r="AF484" s="211"/>
    </row>
    <row r="485" spans="1:32" s="112" customFormat="1" ht="15" customHeight="1" x14ac:dyDescent="0.25">
      <c r="B485" s="726" t="s">
        <v>325</v>
      </c>
      <c r="C485" s="318"/>
      <c r="D485" s="324" t="s">
        <v>324</v>
      </c>
      <c r="E485" s="317"/>
      <c r="F485" s="322">
        <v>83</v>
      </c>
      <c r="G485" s="317"/>
      <c r="H485" s="324"/>
      <c r="I485" s="317"/>
      <c r="J485" s="322"/>
      <c r="K485" s="322"/>
      <c r="L485" s="323"/>
      <c r="M485" s="323"/>
      <c r="N485" s="323"/>
      <c r="O485" s="323"/>
      <c r="P485" s="732">
        <f>250*3.5</f>
        <v>875</v>
      </c>
      <c r="Q485" s="606"/>
      <c r="R485" s="729">
        <f t="shared" si="421"/>
        <v>250</v>
      </c>
      <c r="S485" s="322"/>
      <c r="T485" s="320">
        <f t="shared" si="422"/>
        <v>72625</v>
      </c>
      <c r="U485" s="317"/>
      <c r="V485" s="320">
        <f t="shared" si="423"/>
        <v>20750</v>
      </c>
      <c r="W485" s="320"/>
      <c r="X485" s="349">
        <f t="shared" si="424"/>
        <v>7.7229159199630488E-3</v>
      </c>
      <c r="Y485" s="477"/>
      <c r="Z485" s="290">
        <f t="shared" si="417"/>
        <v>1.1189793316814673E-2</v>
      </c>
      <c r="AA485" s="635">
        <v>1</v>
      </c>
      <c r="AB485" s="638">
        <f t="shared" si="418"/>
        <v>20750</v>
      </c>
      <c r="AC485" s="636">
        <f t="shared" si="419"/>
        <v>0</v>
      </c>
      <c r="AD485" s="292">
        <f t="shared" si="420"/>
        <v>0</v>
      </c>
      <c r="AE485" s="607"/>
      <c r="AF485" s="211"/>
    </row>
    <row r="486" spans="1:32" s="112" customFormat="1" ht="15" customHeight="1" x14ac:dyDescent="0.25">
      <c r="B486" s="727" t="s">
        <v>344</v>
      </c>
      <c r="C486" s="318"/>
      <c r="D486" s="324" t="s">
        <v>324</v>
      </c>
      <c r="E486" s="317"/>
      <c r="F486" s="322">
        <v>83</v>
      </c>
      <c r="G486" s="317"/>
      <c r="H486" s="324"/>
      <c r="I486" s="317"/>
      <c r="J486" s="322"/>
      <c r="K486" s="322"/>
      <c r="L486" s="323"/>
      <c r="M486" s="323"/>
      <c r="N486" s="323"/>
      <c r="O486" s="323"/>
      <c r="P486" s="732">
        <f>10*3.5</f>
        <v>35</v>
      </c>
      <c r="Q486" s="606"/>
      <c r="R486" s="729">
        <f t="shared" si="421"/>
        <v>10</v>
      </c>
      <c r="S486" s="322"/>
      <c r="T486" s="320">
        <f t="shared" si="422"/>
        <v>2905</v>
      </c>
      <c r="U486" s="317"/>
      <c r="V486" s="320">
        <f t="shared" si="423"/>
        <v>830</v>
      </c>
      <c r="W486" s="320"/>
      <c r="X486" s="349">
        <f t="shared" si="424"/>
        <v>3.0891663679852196E-4</v>
      </c>
      <c r="Y486" s="477"/>
      <c r="Z486" s="290">
        <f t="shared" si="417"/>
        <v>4.4759173267258694E-4</v>
      </c>
      <c r="AA486" s="635">
        <v>1</v>
      </c>
      <c r="AB486" s="638">
        <f t="shared" si="418"/>
        <v>830</v>
      </c>
      <c r="AC486" s="636">
        <f t="shared" si="419"/>
        <v>0</v>
      </c>
      <c r="AD486" s="292">
        <f t="shared" si="420"/>
        <v>0</v>
      </c>
      <c r="AE486" s="607"/>
      <c r="AF486" s="211"/>
    </row>
    <row r="487" spans="1:32" s="112" customFormat="1" ht="15" customHeight="1" x14ac:dyDescent="0.25">
      <c r="B487" s="727" t="s">
        <v>345</v>
      </c>
      <c r="C487" s="318"/>
      <c r="D487" s="324" t="s">
        <v>324</v>
      </c>
      <c r="E487" s="317"/>
      <c r="F487" s="322">
        <v>83</v>
      </c>
      <c r="G487" s="317"/>
      <c r="H487" s="324"/>
      <c r="I487" s="317"/>
      <c r="J487" s="322"/>
      <c r="K487" s="322"/>
      <c r="L487" s="323"/>
      <c r="M487" s="323"/>
      <c r="N487" s="323"/>
      <c r="O487" s="323"/>
      <c r="P487" s="732">
        <f>23*3.5</f>
        <v>80.5</v>
      </c>
      <c r="Q487" s="606"/>
      <c r="R487" s="729">
        <f t="shared" si="421"/>
        <v>23</v>
      </c>
      <c r="S487" s="322"/>
      <c r="T487" s="320">
        <f t="shared" si="422"/>
        <v>6681.5</v>
      </c>
      <c r="U487" s="317"/>
      <c r="V487" s="320">
        <f t="shared" si="423"/>
        <v>1909</v>
      </c>
      <c r="W487" s="320"/>
      <c r="X487" s="349">
        <f t="shared" si="424"/>
        <v>7.105082646366005E-4</v>
      </c>
      <c r="Y487" s="477"/>
      <c r="Z487" s="290">
        <f t="shared" si="417"/>
        <v>1.02946098514695E-3</v>
      </c>
      <c r="AA487" s="635">
        <v>1</v>
      </c>
      <c r="AB487" s="638">
        <f t="shared" si="418"/>
        <v>1909</v>
      </c>
      <c r="AC487" s="636">
        <f t="shared" si="419"/>
        <v>0</v>
      </c>
      <c r="AD487" s="292">
        <f t="shared" si="420"/>
        <v>0</v>
      </c>
      <c r="AE487" s="607"/>
      <c r="AF487" s="211"/>
    </row>
    <row r="488" spans="1:32" s="112" customFormat="1" ht="15" customHeight="1" x14ac:dyDescent="0.25">
      <c r="B488" s="727" t="s">
        <v>346</v>
      </c>
      <c r="C488" s="318"/>
      <c r="D488" s="324" t="s">
        <v>324</v>
      </c>
      <c r="E488" s="317"/>
      <c r="F488" s="322">
        <v>83</v>
      </c>
      <c r="G488" s="317"/>
      <c r="H488" s="324"/>
      <c r="I488" s="317"/>
      <c r="J488" s="322"/>
      <c r="K488" s="322"/>
      <c r="L488" s="323"/>
      <c r="M488" s="323"/>
      <c r="N488" s="323"/>
      <c r="O488" s="323"/>
      <c r="P488" s="732"/>
      <c r="Q488" s="606"/>
      <c r="R488" s="729">
        <f t="shared" si="421"/>
        <v>0</v>
      </c>
      <c r="S488" s="322"/>
      <c r="T488" s="320">
        <f t="shared" si="422"/>
        <v>0</v>
      </c>
      <c r="U488" s="317"/>
      <c r="V488" s="320">
        <f t="shared" si="423"/>
        <v>0</v>
      </c>
      <c r="W488" s="320"/>
      <c r="X488" s="349">
        <f t="shared" si="424"/>
        <v>0</v>
      </c>
      <c r="Y488" s="477"/>
      <c r="Z488" s="290">
        <f t="shared" si="417"/>
        <v>0</v>
      </c>
      <c r="AA488" s="635">
        <v>1</v>
      </c>
      <c r="AB488" s="638">
        <f t="shared" si="418"/>
        <v>0</v>
      </c>
      <c r="AC488" s="636" t="e">
        <f t="shared" si="419"/>
        <v>#DIV/0!</v>
      </c>
      <c r="AD488" s="292">
        <f t="shared" si="420"/>
        <v>0</v>
      </c>
      <c r="AE488" s="607"/>
      <c r="AF488" s="211"/>
    </row>
    <row r="489" spans="1:32" s="112" customFormat="1" ht="15" customHeight="1" x14ac:dyDescent="0.25">
      <c r="B489" s="727" t="s">
        <v>347</v>
      </c>
      <c r="C489" s="318"/>
      <c r="D489" s="324" t="s">
        <v>353</v>
      </c>
      <c r="E489" s="317"/>
      <c r="F489" s="322">
        <v>1</v>
      </c>
      <c r="G489" s="317"/>
      <c r="H489" s="324"/>
      <c r="I489" s="317"/>
      <c r="J489" s="322"/>
      <c r="K489" s="322"/>
      <c r="L489" s="323"/>
      <c r="M489" s="323"/>
      <c r="N489" s="323"/>
      <c r="O489" s="323"/>
      <c r="P489" s="732">
        <f>900*3.5</f>
        <v>3150</v>
      </c>
      <c r="Q489" s="606"/>
      <c r="R489" s="729">
        <f t="shared" si="421"/>
        <v>900</v>
      </c>
      <c r="S489" s="322"/>
      <c r="T489" s="320">
        <f t="shared" si="422"/>
        <v>3150</v>
      </c>
      <c r="U489" s="317"/>
      <c r="V489" s="320">
        <f t="shared" si="423"/>
        <v>900</v>
      </c>
      <c r="W489" s="320"/>
      <c r="X489" s="349">
        <f t="shared" si="424"/>
        <v>3.3496984713092743E-4</v>
      </c>
      <c r="Y489" s="477"/>
      <c r="Z489" s="290">
        <f t="shared" si="417"/>
        <v>4.8534043301846772E-4</v>
      </c>
      <c r="AA489" s="635">
        <v>1</v>
      </c>
      <c r="AB489" s="638">
        <f t="shared" si="418"/>
        <v>900</v>
      </c>
      <c r="AC489" s="636">
        <f t="shared" si="419"/>
        <v>0</v>
      </c>
      <c r="AD489" s="292">
        <f t="shared" si="420"/>
        <v>0</v>
      </c>
      <c r="AE489" s="607"/>
      <c r="AF489" s="211"/>
    </row>
    <row r="490" spans="1:32" s="112" customFormat="1" ht="15" customHeight="1" x14ac:dyDescent="0.25">
      <c r="B490" s="727" t="s">
        <v>348</v>
      </c>
      <c r="C490" s="318"/>
      <c r="D490" s="324" t="s">
        <v>354</v>
      </c>
      <c r="E490" s="317"/>
      <c r="F490" s="322">
        <v>1</v>
      </c>
      <c r="G490" s="317"/>
      <c r="H490" s="324"/>
      <c r="I490" s="317"/>
      <c r="J490" s="322"/>
      <c r="K490" s="322"/>
      <c r="L490" s="323"/>
      <c r="M490" s="323"/>
      <c r="N490" s="323"/>
      <c r="O490" s="323"/>
      <c r="P490" s="732">
        <f>3*3.5</f>
        <v>10.5</v>
      </c>
      <c r="Q490" s="606"/>
      <c r="R490" s="729">
        <f t="shared" si="421"/>
        <v>3</v>
      </c>
      <c r="S490" s="322"/>
      <c r="T490" s="320">
        <f t="shared" si="422"/>
        <v>10.5</v>
      </c>
      <c r="U490" s="317"/>
      <c r="V490" s="320">
        <f t="shared" si="423"/>
        <v>3</v>
      </c>
      <c r="W490" s="320"/>
      <c r="X490" s="349">
        <f t="shared" si="424"/>
        <v>1.1165661571030915E-6</v>
      </c>
      <c r="Y490" s="477"/>
      <c r="Z490" s="290">
        <f t="shared" si="417"/>
        <v>1.6178014433948925E-6</v>
      </c>
      <c r="AA490" s="635">
        <v>1</v>
      </c>
      <c r="AB490" s="638">
        <f t="shared" si="418"/>
        <v>3</v>
      </c>
      <c r="AC490" s="636">
        <f t="shared" si="419"/>
        <v>0</v>
      </c>
      <c r="AD490" s="292">
        <f t="shared" si="420"/>
        <v>0</v>
      </c>
      <c r="AE490" s="607"/>
      <c r="AF490" s="211"/>
    </row>
    <row r="491" spans="1:32" s="112" customFormat="1" ht="15" customHeight="1" x14ac:dyDescent="0.25">
      <c r="B491" s="727" t="s">
        <v>349</v>
      </c>
      <c r="C491" s="318"/>
      <c r="D491" s="324" t="s">
        <v>354</v>
      </c>
      <c r="E491" s="317"/>
      <c r="F491" s="322">
        <v>1</v>
      </c>
      <c r="G491" s="317"/>
      <c r="H491" s="324"/>
      <c r="I491" s="317"/>
      <c r="J491" s="322"/>
      <c r="K491" s="322"/>
      <c r="L491" s="323"/>
      <c r="M491" s="323"/>
      <c r="N491" s="323"/>
      <c r="O491" s="323"/>
      <c r="P491" s="732">
        <f>18*3.5</f>
        <v>63</v>
      </c>
      <c r="Q491" s="606"/>
      <c r="R491" s="729">
        <f t="shared" si="421"/>
        <v>18</v>
      </c>
      <c r="S491" s="322"/>
      <c r="T491" s="320">
        <f t="shared" si="422"/>
        <v>63</v>
      </c>
      <c r="U491" s="317"/>
      <c r="V491" s="320">
        <f t="shared" si="423"/>
        <v>18</v>
      </c>
      <c r="W491" s="320"/>
      <c r="X491" s="349">
        <f t="shared" si="424"/>
        <v>6.6993969426185482E-6</v>
      </c>
      <c r="Y491" s="477"/>
      <c r="Z491" s="290">
        <f t="shared" si="417"/>
        <v>9.7068086603693543E-6</v>
      </c>
      <c r="AA491" s="635">
        <v>1</v>
      </c>
      <c r="AB491" s="638">
        <f t="shared" si="418"/>
        <v>18</v>
      </c>
      <c r="AC491" s="636">
        <f t="shared" si="419"/>
        <v>0</v>
      </c>
      <c r="AD491" s="292">
        <f t="shared" si="420"/>
        <v>0</v>
      </c>
      <c r="AE491" s="607"/>
      <c r="AF491" s="211"/>
    </row>
    <row r="492" spans="1:32" s="112" customFormat="1" ht="15" customHeight="1" x14ac:dyDescent="0.25">
      <c r="B492" s="728" t="s">
        <v>352</v>
      </c>
      <c r="C492" s="318"/>
      <c r="D492" s="324" t="s">
        <v>355</v>
      </c>
      <c r="E492" s="317"/>
      <c r="F492" s="322">
        <v>1</v>
      </c>
      <c r="G492" s="317"/>
      <c r="H492" s="324"/>
      <c r="I492" s="317"/>
      <c r="J492" s="322"/>
      <c r="K492" s="322"/>
      <c r="L492" s="323"/>
      <c r="M492" s="323"/>
      <c r="N492" s="323"/>
      <c r="O492" s="323"/>
      <c r="P492" s="732">
        <v>0</v>
      </c>
      <c r="Q492" s="606"/>
      <c r="R492" s="729">
        <f t="shared" si="421"/>
        <v>0</v>
      </c>
      <c r="S492" s="322"/>
      <c r="T492" s="320">
        <f t="shared" si="422"/>
        <v>0</v>
      </c>
      <c r="U492" s="317"/>
      <c r="V492" s="320">
        <f t="shared" si="423"/>
        <v>0</v>
      </c>
      <c r="W492" s="320"/>
      <c r="X492" s="349">
        <f t="shared" si="424"/>
        <v>0</v>
      </c>
      <c r="Y492" s="477"/>
      <c r="Z492" s="290">
        <f t="shared" si="417"/>
        <v>0</v>
      </c>
      <c r="AA492" s="635">
        <v>1</v>
      </c>
      <c r="AB492" s="638">
        <f t="shared" si="418"/>
        <v>0</v>
      </c>
      <c r="AC492" s="636" t="e">
        <f t="shared" si="419"/>
        <v>#DIV/0!</v>
      </c>
      <c r="AD492" s="292">
        <f t="shared" si="420"/>
        <v>0</v>
      </c>
      <c r="AE492" s="607"/>
      <c r="AF492" s="211"/>
    </row>
    <row r="493" spans="1:32" s="112" customFormat="1" ht="15" customHeight="1" x14ac:dyDescent="0.25">
      <c r="B493" s="325" t="s">
        <v>248</v>
      </c>
      <c r="C493" s="318"/>
      <c r="D493" s="324" t="s">
        <v>63</v>
      </c>
      <c r="E493" s="317"/>
      <c r="F493" s="322">
        <v>50000</v>
      </c>
      <c r="G493" s="317"/>
      <c r="H493" s="324"/>
      <c r="I493" s="317"/>
      <c r="J493" s="322"/>
      <c r="K493" s="322"/>
      <c r="L493" s="323"/>
      <c r="M493" s="323"/>
      <c r="N493" s="323"/>
      <c r="O493" s="323"/>
      <c r="P493" s="732">
        <v>0.4</v>
      </c>
      <c r="Q493" s="606"/>
      <c r="R493" s="729">
        <f>P493/$V$6</f>
        <v>0.1142857142857143</v>
      </c>
      <c r="S493" s="322"/>
      <c r="T493" s="320">
        <f>IF(N493=0,IF(J493=0,F493*P493,F493*J493*P493),F493*J493*N493*P493)</f>
        <v>20000</v>
      </c>
      <c r="U493" s="317"/>
      <c r="V493" s="320">
        <f>T493/$V$6</f>
        <v>5714.2857142857147</v>
      </c>
      <c r="W493" s="320"/>
      <c r="X493" s="349">
        <f>V493/$V$3</f>
        <v>2.1267926801963647E-3</v>
      </c>
      <c r="Y493" s="477"/>
      <c r="Z493" s="290">
        <f t="shared" si="417"/>
        <v>3.0815265588474143E-3</v>
      </c>
      <c r="AA493" s="635">
        <v>1</v>
      </c>
      <c r="AB493" s="638">
        <f t="shared" si="418"/>
        <v>5714.2857142857147</v>
      </c>
      <c r="AC493" s="636">
        <f t="shared" si="419"/>
        <v>0</v>
      </c>
      <c r="AD493" s="292">
        <f t="shared" si="420"/>
        <v>0</v>
      </c>
      <c r="AE493" s="607" t="s">
        <v>64</v>
      </c>
      <c r="AF493" s="211"/>
    </row>
    <row r="494" spans="1:32" s="112" customFormat="1" ht="15" customHeight="1" x14ac:dyDescent="0.25">
      <c r="B494" s="325" t="s">
        <v>128</v>
      </c>
      <c r="C494" s="317"/>
      <c r="D494" s="324" t="s">
        <v>50</v>
      </c>
      <c r="E494" s="317"/>
      <c r="F494" s="322">
        <f>322+32</f>
        <v>354</v>
      </c>
      <c r="G494" s="317"/>
      <c r="H494" s="324" t="s">
        <v>195</v>
      </c>
      <c r="I494" s="317"/>
      <c r="J494" s="327">
        <v>6</v>
      </c>
      <c r="K494" s="322"/>
      <c r="L494" s="324"/>
      <c r="M494" s="323"/>
      <c r="N494" s="323"/>
      <c r="O494" s="323"/>
      <c r="P494" s="732">
        <v>5</v>
      </c>
      <c r="Q494" s="606"/>
      <c r="R494" s="729">
        <f>P494/$V$6</f>
        <v>1.4285714285714286</v>
      </c>
      <c r="S494" s="322"/>
      <c r="T494" s="320">
        <f>IF(N494=0,IF(J494=0,F494*P494,F494*J494*P494),F494*J494*N494*P494)</f>
        <v>10620</v>
      </c>
      <c r="U494" s="317"/>
      <c r="V494" s="320">
        <f>T494/$V$6</f>
        <v>3034.2857142857142</v>
      </c>
      <c r="W494" s="320"/>
      <c r="X494" s="349">
        <f>V494/$V$3</f>
        <v>1.1293269131842697E-3</v>
      </c>
      <c r="Y494" s="477"/>
      <c r="Z494" s="290">
        <f t="shared" si="417"/>
        <v>1.6362906027479768E-3</v>
      </c>
      <c r="AA494" s="635">
        <v>1</v>
      </c>
      <c r="AB494" s="638">
        <f t="shared" si="418"/>
        <v>3034.2857142857142</v>
      </c>
      <c r="AC494" s="636">
        <f t="shared" si="419"/>
        <v>0</v>
      </c>
      <c r="AD494" s="292">
        <f t="shared" si="420"/>
        <v>0</v>
      </c>
      <c r="AE494" s="607" t="s">
        <v>64</v>
      </c>
    </row>
    <row r="495" spans="1:32" s="112" customFormat="1" ht="15" customHeight="1" thickBot="1" x14ac:dyDescent="0.3">
      <c r="A495" s="112" t="s">
        <v>478</v>
      </c>
      <c r="B495" s="189" t="s">
        <v>65</v>
      </c>
      <c r="C495" s="318"/>
      <c r="D495" s="546"/>
      <c r="F495" s="158"/>
      <c r="H495" s="546"/>
      <c r="J495" s="158"/>
      <c r="K495" s="158"/>
      <c r="L495" s="158"/>
      <c r="M495" s="158"/>
      <c r="N495" s="158"/>
      <c r="O495" s="158"/>
      <c r="P495" s="734"/>
      <c r="Q495" s="158"/>
      <c r="R495" s="731"/>
      <c r="S495" s="158"/>
      <c r="T495" s="544">
        <f>SUM(T482:T494)</f>
        <v>170280</v>
      </c>
      <c r="U495" s="131"/>
      <c r="V495" s="544">
        <f>SUM(V482:V494)</f>
        <v>48651.42857142858</v>
      </c>
      <c r="W495" s="132"/>
      <c r="X495" s="545">
        <f>SUM(X482:X494)</f>
        <v>1.8107512879191847E-2</v>
      </c>
      <c r="Y495" s="539"/>
      <c r="Z495" s="290">
        <f t="shared" si="417"/>
        <v>2.6236117122026888E-2</v>
      </c>
      <c r="AA495" s="668"/>
      <c r="AB495" s="544">
        <f>SUM(AB482:AB494)</f>
        <v>48651.42857142858</v>
      </c>
      <c r="AC495" s="637"/>
      <c r="AD495" s="544">
        <f>SUM(AD482:AD494)</f>
        <v>0</v>
      </c>
      <c r="AE495" s="595"/>
      <c r="AF495" s="211"/>
    </row>
    <row r="496" spans="1:32" s="112" customFormat="1" ht="15" customHeight="1" thickBot="1" x14ac:dyDescent="0.3">
      <c r="B496" s="325"/>
      <c r="C496" s="318"/>
      <c r="D496" s="105"/>
      <c r="E496" s="179"/>
      <c r="F496" s="146"/>
      <c r="G496" s="179"/>
      <c r="H496" s="105"/>
      <c r="I496" s="179"/>
      <c r="J496" s="146"/>
      <c r="K496" s="158"/>
      <c r="L496" s="146"/>
      <c r="M496" s="146"/>
      <c r="N496" s="146"/>
      <c r="O496" s="146"/>
      <c r="P496" s="735"/>
      <c r="Q496" s="146"/>
      <c r="R496" s="731"/>
      <c r="S496" s="158"/>
      <c r="T496" s="179"/>
      <c r="U496" s="179"/>
      <c r="V496" s="179"/>
      <c r="W496" s="179"/>
      <c r="X496" s="329"/>
      <c r="Y496" s="179"/>
      <c r="Z496" s="517"/>
      <c r="AA496" s="179"/>
      <c r="AB496" s="639"/>
      <c r="AC496" s="179"/>
      <c r="AD496" s="179"/>
      <c r="AE496" s="612"/>
      <c r="AF496" s="211"/>
    </row>
    <row r="497" spans="1:32" s="112" customFormat="1" ht="15" customHeight="1" x14ac:dyDescent="0.25">
      <c r="B497" s="289" t="s">
        <v>135</v>
      </c>
      <c r="C497" s="318"/>
      <c r="D497" s="193"/>
      <c r="E497" s="100"/>
      <c r="F497" s="322" t="s">
        <v>135</v>
      </c>
      <c r="G497" s="94"/>
      <c r="H497" s="324"/>
      <c r="I497" s="100"/>
      <c r="J497" s="162"/>
      <c r="K497" s="164"/>
      <c r="L497" s="323"/>
      <c r="M497" s="323"/>
      <c r="N497" s="166"/>
      <c r="O497" s="323"/>
      <c r="P497" s="733"/>
      <c r="Q497" s="157"/>
      <c r="R497" s="730"/>
      <c r="S497" s="157"/>
      <c r="T497" s="474"/>
      <c r="U497" s="131"/>
      <c r="V497" s="474"/>
      <c r="W497" s="475"/>
      <c r="X497" s="476"/>
      <c r="Y497" s="240"/>
      <c r="Z497" s="290"/>
      <c r="AA497" s="94"/>
      <c r="AB497" s="648"/>
      <c r="AC497" s="94"/>
      <c r="AD497" s="94"/>
      <c r="AE497" s="611"/>
      <c r="AF497" s="211"/>
    </row>
    <row r="498" spans="1:32" s="112" customFormat="1" ht="15" customHeight="1" x14ac:dyDescent="0.25">
      <c r="B498" s="177" t="s">
        <v>543</v>
      </c>
      <c r="C498" s="318"/>
      <c r="D498" s="324" t="s">
        <v>135</v>
      </c>
      <c r="E498" s="100"/>
      <c r="F498" s="322"/>
      <c r="G498" s="94"/>
      <c r="H498" s="324"/>
      <c r="I498" s="100"/>
      <c r="J498" s="162"/>
      <c r="K498" s="164"/>
      <c r="L498" s="323"/>
      <c r="M498" s="323"/>
      <c r="N498" s="166"/>
      <c r="O498" s="323"/>
      <c r="P498" s="733"/>
      <c r="Q498" s="322"/>
      <c r="R498" s="729"/>
      <c r="S498" s="322"/>
      <c r="T498" s="302"/>
      <c r="U498" s="318"/>
      <c r="V498" s="302"/>
      <c r="W498" s="134"/>
      <c r="X498" s="344"/>
      <c r="Y498" s="240"/>
      <c r="Z498" s="290"/>
      <c r="AA498" s="94"/>
      <c r="AB498" s="648"/>
      <c r="AC498" s="94"/>
      <c r="AD498" s="94"/>
      <c r="AE498" s="607"/>
      <c r="AF498" s="211"/>
    </row>
    <row r="499" spans="1:32" s="112" customFormat="1" ht="15" customHeight="1" x14ac:dyDescent="0.25">
      <c r="B499" s="194" t="s">
        <v>544</v>
      </c>
      <c r="C499" s="318"/>
      <c r="D499" s="324"/>
      <c r="E499" s="100"/>
      <c r="F499" s="322"/>
      <c r="G499" s="94"/>
      <c r="H499" s="324"/>
      <c r="I499" s="100"/>
      <c r="J499" s="162"/>
      <c r="K499" s="164"/>
      <c r="L499" s="323"/>
      <c r="M499" s="323"/>
      <c r="N499" s="166"/>
      <c r="O499" s="323"/>
      <c r="P499" s="733"/>
      <c r="Q499" s="322"/>
      <c r="R499" s="729"/>
      <c r="S499" s="322"/>
      <c r="T499" s="302"/>
      <c r="U499" s="318"/>
      <c r="V499" s="302"/>
      <c r="W499" s="134"/>
      <c r="X499" s="344"/>
      <c r="Y499" s="240"/>
      <c r="Z499" s="290"/>
      <c r="AA499" s="94"/>
      <c r="AB499" s="648"/>
      <c r="AC499" s="94"/>
      <c r="AD499" s="94"/>
      <c r="AE499" s="607"/>
      <c r="AF499" s="211"/>
    </row>
    <row r="500" spans="1:32" s="491" customFormat="1" ht="26.1" customHeight="1" x14ac:dyDescent="0.25">
      <c r="B500" s="178" t="s">
        <v>414</v>
      </c>
      <c r="C500" s="478"/>
      <c r="D500" s="479" t="s">
        <v>50</v>
      </c>
      <c r="E500" s="482"/>
      <c r="F500" s="481">
        <v>1</v>
      </c>
      <c r="G500" s="659"/>
      <c r="H500" s="479" t="s">
        <v>51</v>
      </c>
      <c r="I500" s="482"/>
      <c r="J500" s="481">
        <v>2</v>
      </c>
      <c r="K500" s="541"/>
      <c r="L500" s="479" t="s">
        <v>399</v>
      </c>
      <c r="M500" s="480"/>
      <c r="N500" s="478"/>
      <c r="O500" s="478"/>
      <c r="P500" s="481">
        <f>+'Staff Detail'!D59+'Staff Detail'!B49</f>
        <v>500</v>
      </c>
      <c r="Q500" s="483"/>
      <c r="R500" s="484">
        <f t="shared" ref="R500:R506" si="425">P500/$V$6</f>
        <v>142.85714285714286</v>
      </c>
      <c r="S500" s="483"/>
      <c r="T500" s="485">
        <f t="shared" ref="T500:T506" si="426">IF(N500=0,IF(J500=0,F500*P500,F500*J500*P500),F500*J500*N500*P500)</f>
        <v>1000</v>
      </c>
      <c r="U500" s="480"/>
      <c r="V500" s="485">
        <f t="shared" ref="V500:V508" si="427">T500/$V$6</f>
        <v>285.71428571428572</v>
      </c>
      <c r="W500" s="486"/>
      <c r="X500" s="487">
        <f t="shared" ref="X500:X506" si="428">V500/$V$3</f>
        <v>1.0633963400981824E-4</v>
      </c>
      <c r="Y500" s="488"/>
      <c r="Z500" s="489">
        <f t="shared" ref="Z500:Z509" si="429">V500/$V$601</f>
        <v>1.5407632794237072E-4</v>
      </c>
      <c r="AA500" s="660">
        <v>1</v>
      </c>
      <c r="AB500" s="661">
        <f t="shared" ref="AB500:AB508" si="430">+W500+V500*AA500</f>
        <v>285.71428571428572</v>
      </c>
      <c r="AC500" s="662">
        <f t="shared" ref="AC500:AC506" si="431">+AD500/V500</f>
        <v>0</v>
      </c>
      <c r="AD500" s="483">
        <f t="shared" ref="AD500:AD508" si="432">+V500-AB500</f>
        <v>0</v>
      </c>
      <c r="AE500" s="480" t="s">
        <v>99</v>
      </c>
      <c r="AF500" s="490"/>
    </row>
    <row r="501" spans="1:32" s="491" customFormat="1" ht="15.95" customHeight="1" x14ac:dyDescent="0.25">
      <c r="B501" s="178" t="s">
        <v>411</v>
      </c>
      <c r="C501" s="478"/>
      <c r="D501" s="479" t="s">
        <v>50</v>
      </c>
      <c r="E501" s="482"/>
      <c r="F501" s="481">
        <v>1</v>
      </c>
      <c r="G501" s="659"/>
      <c r="H501" s="479" t="s">
        <v>51</v>
      </c>
      <c r="I501" s="482"/>
      <c r="J501" s="481">
        <v>2</v>
      </c>
      <c r="K501" s="541"/>
      <c r="L501" s="479"/>
      <c r="M501" s="480"/>
      <c r="N501" s="478"/>
      <c r="O501" s="478"/>
      <c r="P501" s="481">
        <f>+'Staff Detail'!D31+'Staff Detail'!B36</f>
        <v>383.56164383561645</v>
      </c>
      <c r="Q501" s="483"/>
      <c r="R501" s="484">
        <f t="shared" si="425"/>
        <v>109.58904109589041</v>
      </c>
      <c r="S501" s="483"/>
      <c r="T501" s="485">
        <f t="shared" si="426"/>
        <v>767.1232876712329</v>
      </c>
      <c r="U501" s="480"/>
      <c r="V501" s="485">
        <f t="shared" si="427"/>
        <v>219.17808219178082</v>
      </c>
      <c r="W501" s="486"/>
      <c r="X501" s="487">
        <f t="shared" si="428"/>
        <v>8.1575609651367411E-5</v>
      </c>
      <c r="Y501" s="488"/>
      <c r="Z501" s="489">
        <f t="shared" si="429"/>
        <v>1.1819553924346247E-4</v>
      </c>
      <c r="AA501" s="660">
        <v>1</v>
      </c>
      <c r="AB501" s="661">
        <f t="shared" si="430"/>
        <v>219.17808219178082</v>
      </c>
      <c r="AC501" s="662">
        <f t="shared" si="431"/>
        <v>0</v>
      </c>
      <c r="AD501" s="483">
        <f t="shared" si="432"/>
        <v>0</v>
      </c>
      <c r="AE501" s="480" t="s">
        <v>99</v>
      </c>
      <c r="AF501" s="490"/>
    </row>
    <row r="502" spans="1:32" s="112" customFormat="1" ht="15" customHeight="1" x14ac:dyDescent="0.25">
      <c r="B502" s="178" t="s">
        <v>413</v>
      </c>
      <c r="C502" s="318"/>
      <c r="D502" s="193" t="s">
        <v>50</v>
      </c>
      <c r="E502" s="100"/>
      <c r="F502" s="321">
        <v>1</v>
      </c>
      <c r="G502" s="94"/>
      <c r="H502" s="193" t="s">
        <v>51</v>
      </c>
      <c r="I502" s="100"/>
      <c r="J502" s="321">
        <v>1</v>
      </c>
      <c r="K502" s="164"/>
      <c r="L502" s="193"/>
      <c r="M502" s="317"/>
      <c r="N502" s="323"/>
      <c r="O502" s="323"/>
      <c r="P502" s="321">
        <f>+'Staff Detail'!D23+'Staff Detail'!B29</f>
        <v>222</v>
      </c>
      <c r="Q502" s="322"/>
      <c r="R502" s="327">
        <f t="shared" si="425"/>
        <v>63.428571428571431</v>
      </c>
      <c r="S502" s="322"/>
      <c r="T502" s="319">
        <f t="shared" si="426"/>
        <v>222</v>
      </c>
      <c r="U502" s="317"/>
      <c r="V502" s="319">
        <f t="shared" si="427"/>
        <v>63.428571428571431</v>
      </c>
      <c r="W502" s="320"/>
      <c r="X502" s="337">
        <f t="shared" si="428"/>
        <v>2.3607398750179647E-5</v>
      </c>
      <c r="Y502" s="167"/>
      <c r="Z502" s="326">
        <f t="shared" si="429"/>
        <v>3.4204944803206299E-5</v>
      </c>
      <c r="AA502" s="635">
        <v>1</v>
      </c>
      <c r="AB502" s="638">
        <f t="shared" si="430"/>
        <v>63.428571428571431</v>
      </c>
      <c r="AC502" s="636">
        <f t="shared" si="431"/>
        <v>0</v>
      </c>
      <c r="AD502" s="292">
        <f t="shared" si="432"/>
        <v>0</v>
      </c>
      <c r="AE502" s="607" t="s">
        <v>99</v>
      </c>
      <c r="AF502" s="211"/>
    </row>
    <row r="503" spans="1:32" s="112" customFormat="1" ht="15" customHeight="1" x14ac:dyDescent="0.25">
      <c r="B503" s="178" t="s">
        <v>422</v>
      </c>
      <c r="C503" s="318"/>
      <c r="D503" s="193" t="s">
        <v>50</v>
      </c>
      <c r="E503" s="100"/>
      <c r="F503" s="321">
        <v>1</v>
      </c>
      <c r="G503" s="94"/>
      <c r="H503" s="193" t="s">
        <v>51</v>
      </c>
      <c r="I503" s="100"/>
      <c r="J503" s="321">
        <v>1</v>
      </c>
      <c r="K503" s="164"/>
      <c r="L503" s="193"/>
      <c r="M503" s="317"/>
      <c r="N503" s="323"/>
      <c r="O503" s="323"/>
      <c r="P503" s="321">
        <f>+'Staff Detail'!B26</f>
        <v>320.96027397260275</v>
      </c>
      <c r="Q503" s="322"/>
      <c r="R503" s="327">
        <f t="shared" si="425"/>
        <v>91.702935420743643</v>
      </c>
      <c r="S503" s="322"/>
      <c r="T503" s="319">
        <f t="shared" si="426"/>
        <v>320.96027397260275</v>
      </c>
      <c r="U503" s="317"/>
      <c r="V503" s="319">
        <f t="shared" si="427"/>
        <v>91.702935420743643</v>
      </c>
      <c r="W503" s="320"/>
      <c r="X503" s="337">
        <f t="shared" si="428"/>
        <v>3.4130798065937568E-5</v>
      </c>
      <c r="Y503" s="167"/>
      <c r="Z503" s="326">
        <f t="shared" si="429"/>
        <v>4.9452380429075889E-5</v>
      </c>
      <c r="AA503" s="635">
        <v>1</v>
      </c>
      <c r="AB503" s="638">
        <f t="shared" si="430"/>
        <v>91.702935420743643</v>
      </c>
      <c r="AC503" s="636">
        <f t="shared" si="431"/>
        <v>0</v>
      </c>
      <c r="AD503" s="292">
        <f t="shared" si="432"/>
        <v>0</v>
      </c>
      <c r="AE503" s="607" t="s">
        <v>99</v>
      </c>
      <c r="AF503" s="211"/>
    </row>
    <row r="504" spans="1:32" s="491" customFormat="1" ht="15" customHeight="1" x14ac:dyDescent="0.25">
      <c r="B504" s="178" t="s">
        <v>452</v>
      </c>
      <c r="C504" s="478"/>
      <c r="D504" s="479" t="s">
        <v>50</v>
      </c>
      <c r="E504" s="482"/>
      <c r="F504" s="481">
        <v>1</v>
      </c>
      <c r="G504" s="659"/>
      <c r="H504" s="479" t="s">
        <v>51</v>
      </c>
      <c r="I504" s="482"/>
      <c r="J504" s="481">
        <v>1</v>
      </c>
      <c r="K504" s="541"/>
      <c r="L504" s="479"/>
      <c r="M504" s="480"/>
      <c r="N504" s="478"/>
      <c r="O504" s="478"/>
      <c r="P504" s="481">
        <f>+'Staff Detail'!B28</f>
        <v>249.04043835616437</v>
      </c>
      <c r="Q504" s="483"/>
      <c r="R504" s="484">
        <f t="shared" si="425"/>
        <v>71.154410958904108</v>
      </c>
      <c r="S504" s="483"/>
      <c r="T504" s="485">
        <f t="shared" si="426"/>
        <v>249.04043835616437</v>
      </c>
      <c r="U504" s="480"/>
      <c r="V504" s="485">
        <f t="shared" si="427"/>
        <v>71.154410958904108</v>
      </c>
      <c r="W504" s="486"/>
      <c r="X504" s="487">
        <f t="shared" si="428"/>
        <v>2.6482869068439217E-5</v>
      </c>
      <c r="Y504" s="488"/>
      <c r="Z504" s="489">
        <f t="shared" si="429"/>
        <v>3.8371236251076139E-5</v>
      </c>
      <c r="AA504" s="660">
        <v>1</v>
      </c>
      <c r="AB504" s="661">
        <f t="shared" si="430"/>
        <v>71.154410958904108</v>
      </c>
      <c r="AC504" s="662">
        <f t="shared" si="431"/>
        <v>0</v>
      </c>
      <c r="AD504" s="483">
        <f t="shared" si="432"/>
        <v>0</v>
      </c>
      <c r="AE504" s="480" t="s">
        <v>99</v>
      </c>
      <c r="AF504" s="490"/>
    </row>
    <row r="505" spans="1:32" s="112" customFormat="1" ht="15" customHeight="1" x14ac:dyDescent="0.25">
      <c r="B505" s="178" t="s">
        <v>466</v>
      </c>
      <c r="C505" s="318"/>
      <c r="D505" s="193" t="s">
        <v>50</v>
      </c>
      <c r="E505" s="317"/>
      <c r="F505" s="321">
        <v>1</v>
      </c>
      <c r="G505" s="317"/>
      <c r="H505" s="193" t="s">
        <v>51</v>
      </c>
      <c r="I505" s="100"/>
      <c r="J505" s="321">
        <v>1</v>
      </c>
      <c r="K505" s="322"/>
      <c r="L505" s="193"/>
      <c r="M505" s="317"/>
      <c r="N505" s="323"/>
      <c r="O505" s="323"/>
      <c r="P505" s="321">
        <f>+'Staff Detail'!B$16</f>
        <v>89.67</v>
      </c>
      <c r="Q505" s="322"/>
      <c r="R505" s="327">
        <f t="shared" si="425"/>
        <v>25.62</v>
      </c>
      <c r="S505" s="322"/>
      <c r="T505" s="319">
        <f t="shared" si="426"/>
        <v>89.67</v>
      </c>
      <c r="U505" s="317"/>
      <c r="V505" s="319">
        <f t="shared" si="427"/>
        <v>25.62</v>
      </c>
      <c r="W505" s="320"/>
      <c r="X505" s="337">
        <f t="shared" si="428"/>
        <v>9.5354749816604005E-6</v>
      </c>
      <c r="Y505" s="167"/>
      <c r="Z505" s="326">
        <f>V505/$V$601</f>
        <v>1.3816024326592383E-5</v>
      </c>
      <c r="AA505" s="635">
        <v>1</v>
      </c>
      <c r="AB505" s="638">
        <f>+W505+V505*AA505</f>
        <v>25.62</v>
      </c>
      <c r="AC505" s="636">
        <f t="shared" si="431"/>
        <v>0</v>
      </c>
      <c r="AD505" s="292">
        <f>+V505-AB505</f>
        <v>0</v>
      </c>
      <c r="AE505" s="607"/>
      <c r="AF505" s="211"/>
    </row>
    <row r="506" spans="1:32" s="491" customFormat="1" ht="15" customHeight="1" x14ac:dyDescent="0.25">
      <c r="B506" s="178" t="s">
        <v>241</v>
      </c>
      <c r="C506" s="478"/>
      <c r="D506" s="479" t="s">
        <v>50</v>
      </c>
      <c r="E506" s="482"/>
      <c r="F506" s="481">
        <v>1</v>
      </c>
      <c r="G506" s="659"/>
      <c r="H506" s="479" t="s">
        <v>51</v>
      </c>
      <c r="I506" s="482"/>
      <c r="J506" s="481">
        <v>1</v>
      </c>
      <c r="K506" s="541"/>
      <c r="L506" s="479"/>
      <c r="M506" s="480"/>
      <c r="N506" s="478"/>
      <c r="O506" s="478"/>
      <c r="P506" s="481">
        <f>+'Staff Detail'!B31</f>
        <v>31</v>
      </c>
      <c r="Q506" s="483"/>
      <c r="R506" s="484">
        <f t="shared" si="425"/>
        <v>8.8571428571428577</v>
      </c>
      <c r="S506" s="483"/>
      <c r="T506" s="485">
        <f t="shared" si="426"/>
        <v>31</v>
      </c>
      <c r="U506" s="480"/>
      <c r="V506" s="485">
        <f t="shared" si="427"/>
        <v>8.8571428571428577</v>
      </c>
      <c r="W506" s="486"/>
      <c r="X506" s="487">
        <f t="shared" si="428"/>
        <v>3.2965286543043653E-6</v>
      </c>
      <c r="Y506" s="488"/>
      <c r="Z506" s="489">
        <f t="shared" si="429"/>
        <v>4.7763661662134921E-6</v>
      </c>
      <c r="AA506" s="660">
        <v>1</v>
      </c>
      <c r="AB506" s="661">
        <f t="shared" si="430"/>
        <v>8.8571428571428577</v>
      </c>
      <c r="AC506" s="662">
        <f t="shared" si="431"/>
        <v>0</v>
      </c>
      <c r="AD506" s="483">
        <f t="shared" si="432"/>
        <v>0</v>
      </c>
      <c r="AE506" s="480" t="s">
        <v>99</v>
      </c>
      <c r="AF506" s="490"/>
    </row>
    <row r="507" spans="1:32" s="112" customFormat="1" ht="15" customHeight="1" x14ac:dyDescent="0.25">
      <c r="B507" s="178" t="s">
        <v>262</v>
      </c>
      <c r="C507" s="318"/>
      <c r="D507" s="193" t="s">
        <v>50</v>
      </c>
      <c r="E507" s="317"/>
      <c r="F507" s="321">
        <v>1</v>
      </c>
      <c r="G507" s="317"/>
      <c r="H507" s="193" t="s">
        <v>261</v>
      </c>
      <c r="I507" s="100"/>
      <c r="J507" s="321">
        <v>1</v>
      </c>
      <c r="K507" s="322"/>
      <c r="L507" s="193" t="s">
        <v>263</v>
      </c>
      <c r="M507" s="323"/>
      <c r="N507" s="669"/>
      <c r="O507" s="323"/>
      <c r="P507" s="321">
        <v>750</v>
      </c>
      <c r="Q507" s="322"/>
      <c r="R507" s="327">
        <f>P507/$V$6</f>
        <v>214.28571428571428</v>
      </c>
      <c r="S507" s="322"/>
      <c r="T507" s="319">
        <f>IF(N507=0,IF(J507=0,F507*P507,F507*J507*P507),F507*J507*N507*P507)</f>
        <v>750</v>
      </c>
      <c r="U507" s="317"/>
      <c r="V507" s="319">
        <f t="shared" si="427"/>
        <v>214.28571428571428</v>
      </c>
      <c r="W507" s="320"/>
      <c r="X507" s="337">
        <f>V507/$V$3</f>
        <v>7.9754725507363668E-5</v>
      </c>
      <c r="Y507" s="167"/>
      <c r="Z507" s="326">
        <f t="shared" si="429"/>
        <v>1.1555724595677803E-4</v>
      </c>
      <c r="AA507" s="635">
        <v>0.25</v>
      </c>
      <c r="AB507" s="638">
        <f t="shared" si="430"/>
        <v>53.571428571428569</v>
      </c>
      <c r="AC507" s="636">
        <f>+AD507/V507</f>
        <v>0.75000000000000011</v>
      </c>
      <c r="AD507" s="292">
        <f t="shared" si="432"/>
        <v>160.71428571428572</v>
      </c>
      <c r="AE507" s="607" t="s">
        <v>102</v>
      </c>
      <c r="AF507" s="211"/>
    </row>
    <row r="508" spans="1:32" s="112" customFormat="1" ht="15" customHeight="1" x14ac:dyDescent="0.25">
      <c r="B508" s="178" t="s">
        <v>17</v>
      </c>
      <c r="C508" s="318"/>
      <c r="D508" s="193" t="s">
        <v>98</v>
      </c>
      <c r="E508" s="317"/>
      <c r="F508" s="321">
        <v>1</v>
      </c>
      <c r="G508" s="317"/>
      <c r="H508" s="193" t="s">
        <v>54</v>
      </c>
      <c r="I508" s="100"/>
      <c r="J508" s="321">
        <v>11</v>
      </c>
      <c r="K508" s="164"/>
      <c r="L508" s="193" t="s">
        <v>51</v>
      </c>
      <c r="M508" s="163"/>
      <c r="N508" s="321">
        <v>2</v>
      </c>
      <c r="O508" s="165"/>
      <c r="P508" s="321">
        <v>3.3</v>
      </c>
      <c r="Q508" s="322"/>
      <c r="R508" s="327">
        <f>P508/$V$6</f>
        <v>0.94285714285714284</v>
      </c>
      <c r="S508" s="322"/>
      <c r="T508" s="319">
        <f t="shared" ref="T508" si="433">IF(N508=0,IF(J508=0,F508*P508,F508*J508*P508),F508*J508*N508*P508)</f>
        <v>72.599999999999994</v>
      </c>
      <c r="U508" s="317"/>
      <c r="V508" s="319">
        <f t="shared" si="427"/>
        <v>20.74285714285714</v>
      </c>
      <c r="W508" s="320"/>
      <c r="X508" s="337">
        <f>V508/$V$3</f>
        <v>7.720257429112802E-6</v>
      </c>
      <c r="Y508" s="167"/>
      <c r="Z508" s="326">
        <f t="shared" si="429"/>
        <v>1.1185941408616112E-5</v>
      </c>
      <c r="AA508" s="635">
        <v>1</v>
      </c>
      <c r="AB508" s="638">
        <f t="shared" si="430"/>
        <v>20.74285714285714</v>
      </c>
      <c r="AC508" s="636">
        <f>+AD508/V508</f>
        <v>0</v>
      </c>
      <c r="AD508" s="292">
        <f t="shared" si="432"/>
        <v>0</v>
      </c>
      <c r="AE508" s="611" t="s">
        <v>55</v>
      </c>
      <c r="AF508" s="211"/>
    </row>
    <row r="509" spans="1:32" s="112" customFormat="1" ht="15" customHeight="1" thickBot="1" x14ac:dyDescent="0.3">
      <c r="A509" s="112" t="s">
        <v>545</v>
      </c>
      <c r="B509" s="176" t="s">
        <v>96</v>
      </c>
      <c r="C509" s="318"/>
      <c r="D509" s="324"/>
      <c r="E509" s="317"/>
      <c r="F509" s="322"/>
      <c r="G509" s="317"/>
      <c r="H509" s="324"/>
      <c r="I509" s="317"/>
      <c r="J509" s="162"/>
      <c r="K509" s="322"/>
      <c r="L509" s="323"/>
      <c r="M509" s="323"/>
      <c r="N509" s="166"/>
      <c r="O509" s="323"/>
      <c r="P509" s="322"/>
      <c r="Q509" s="322"/>
      <c r="R509" s="322"/>
      <c r="S509" s="322"/>
      <c r="T509" s="133">
        <f>SUM(T500:T508)</f>
        <v>3502.3940000000002</v>
      </c>
      <c r="U509" s="318"/>
      <c r="V509" s="133">
        <f>SUM(V500:V508)</f>
        <v>1000.6840000000001</v>
      </c>
      <c r="W509" s="134"/>
      <c r="X509" s="672">
        <f>SUM(X500:X508)</f>
        <v>3.7244329611818338E-4</v>
      </c>
      <c r="Y509" s="240"/>
      <c r="Z509" s="286">
        <f t="shared" si="429"/>
        <v>5.396360065273916E-4</v>
      </c>
      <c r="AA509" s="668"/>
      <c r="AB509" s="133">
        <f>SUM(AB500:AB508)</f>
        <v>839.9697142857143</v>
      </c>
      <c r="AC509" s="637"/>
      <c r="AD509" s="133">
        <f>SUM(AD500:AD508)</f>
        <v>160.71428571428572</v>
      </c>
      <c r="AE509" s="607"/>
      <c r="AF509" s="211"/>
    </row>
    <row r="510" spans="1:32" s="112" customFormat="1" ht="15" customHeight="1" x14ac:dyDescent="0.25">
      <c r="B510" s="177"/>
      <c r="C510" s="318"/>
      <c r="D510" s="324"/>
      <c r="E510" s="100"/>
      <c r="F510" s="322"/>
      <c r="G510" s="94"/>
      <c r="H510" s="324"/>
      <c r="I510" s="100"/>
      <c r="J510" s="162"/>
      <c r="K510" s="164"/>
      <c r="L510" s="323"/>
      <c r="M510" s="323"/>
      <c r="N510" s="166"/>
      <c r="O510" s="323"/>
      <c r="P510" s="322"/>
      <c r="Q510" s="322"/>
      <c r="R510" s="322"/>
      <c r="S510" s="322"/>
      <c r="T510" s="302"/>
      <c r="U510" s="318"/>
      <c r="V510" s="302"/>
      <c r="W510" s="134"/>
      <c r="X510" s="344"/>
      <c r="Y510" s="240"/>
      <c r="Z510" s="290"/>
      <c r="AA510" s="677"/>
      <c r="AB510" s="671"/>
      <c r="AC510" s="676"/>
      <c r="AD510" s="671"/>
      <c r="AE510" s="607"/>
      <c r="AF510" s="211"/>
    </row>
    <row r="511" spans="1:32" s="112" customFormat="1" ht="15" customHeight="1" x14ac:dyDescent="0.25">
      <c r="B511" s="194" t="s">
        <v>546</v>
      </c>
      <c r="C511" s="318"/>
      <c r="D511" s="324"/>
      <c r="E511" s="100"/>
      <c r="F511" s="322"/>
      <c r="G511" s="94"/>
      <c r="H511" s="324"/>
      <c r="I511" s="100"/>
      <c r="J511" s="162"/>
      <c r="K511" s="164"/>
      <c r="L511" s="323"/>
      <c r="M511" s="323"/>
      <c r="N511" s="166"/>
      <c r="O511" s="323"/>
      <c r="P511" s="322"/>
      <c r="Q511" s="322"/>
      <c r="R511" s="322"/>
      <c r="S511" s="322"/>
      <c r="T511" s="302"/>
      <c r="U511" s="318"/>
      <c r="V511" s="302"/>
      <c r="W511" s="134"/>
      <c r="X511" s="344"/>
      <c r="Y511" s="240"/>
      <c r="Z511" s="290"/>
      <c r="AA511" s="94"/>
      <c r="AB511" s="648"/>
      <c r="AC511" s="94"/>
      <c r="AD511" s="94"/>
      <c r="AE511" s="607"/>
      <c r="AF511" s="211"/>
    </row>
    <row r="512" spans="1:32" s="112" customFormat="1" ht="15" customHeight="1" x14ac:dyDescent="0.25">
      <c r="B512" s="178" t="s">
        <v>253</v>
      </c>
      <c r="C512" s="318"/>
      <c r="D512" s="193" t="s">
        <v>268</v>
      </c>
      <c r="E512" s="100"/>
      <c r="F512" s="321">
        <v>1</v>
      </c>
      <c r="G512" s="94"/>
      <c r="H512" s="193" t="s">
        <v>400</v>
      </c>
      <c r="I512" s="100"/>
      <c r="J512" s="481">
        <v>3</v>
      </c>
      <c r="K512" s="164"/>
      <c r="L512" s="193"/>
      <c r="M512" s="317"/>
      <c r="N512" s="323"/>
      <c r="O512" s="323"/>
      <c r="P512" s="321">
        <v>30</v>
      </c>
      <c r="Q512" s="322"/>
      <c r="R512" s="327">
        <f t="shared" ref="R512:R517" si="434">P512/$V$6</f>
        <v>8.5714285714285712</v>
      </c>
      <c r="S512" s="322"/>
      <c r="T512" s="319">
        <f t="shared" ref="T512:T517" si="435">IF(N512=0,IF(J512=0,F512*P512,F512*J512*P512),F512*J512*N512*P512)</f>
        <v>90</v>
      </c>
      <c r="U512" s="317"/>
      <c r="V512" s="319">
        <f t="shared" ref="V512:V517" si="436">T512/$V$6</f>
        <v>25.714285714285715</v>
      </c>
      <c r="W512" s="320"/>
      <c r="X512" s="337">
        <f t="shared" ref="X512:X517" si="437">V512/$V$3</f>
        <v>9.5705670608836416E-6</v>
      </c>
      <c r="Y512" s="167"/>
      <c r="Z512" s="326">
        <f t="shared" ref="Z512:Z518" si="438">V512/$V$601</f>
        <v>1.3866869514813365E-5</v>
      </c>
      <c r="AA512" s="635">
        <v>1</v>
      </c>
      <c r="AB512" s="638">
        <f t="shared" ref="AB512:AB517" si="439">+W512+V512*AA512</f>
        <v>25.714285714285715</v>
      </c>
      <c r="AC512" s="636">
        <f t="shared" ref="AC512:AC517" si="440">+AD512/V512</f>
        <v>0</v>
      </c>
      <c r="AD512" s="292">
        <f t="shared" ref="AD512:AD517" si="441">+V512-AB512</f>
        <v>0</v>
      </c>
      <c r="AE512" s="607"/>
      <c r="AF512" s="211"/>
    </row>
    <row r="513" spans="1:33" s="112" customFormat="1" ht="15" customHeight="1" x14ac:dyDescent="0.25">
      <c r="B513" s="178" t="s">
        <v>413</v>
      </c>
      <c r="C513" s="318"/>
      <c r="D513" s="193" t="s">
        <v>50</v>
      </c>
      <c r="E513" s="100"/>
      <c r="F513" s="321">
        <v>1</v>
      </c>
      <c r="G513" s="94"/>
      <c r="H513" s="193" t="s">
        <v>51</v>
      </c>
      <c r="I513" s="100"/>
      <c r="J513" s="321">
        <v>2</v>
      </c>
      <c r="K513" s="164"/>
      <c r="L513" s="193"/>
      <c r="M513" s="317"/>
      <c r="N513" s="323"/>
      <c r="O513" s="323"/>
      <c r="P513" s="321">
        <f>+'Staff Detail'!B29</f>
        <v>222</v>
      </c>
      <c r="Q513" s="322"/>
      <c r="R513" s="327">
        <f t="shared" si="434"/>
        <v>63.428571428571431</v>
      </c>
      <c r="S513" s="322"/>
      <c r="T513" s="319">
        <f t="shared" si="435"/>
        <v>444</v>
      </c>
      <c r="U513" s="317"/>
      <c r="V513" s="319">
        <f t="shared" si="436"/>
        <v>126.85714285714286</v>
      </c>
      <c r="W513" s="320"/>
      <c r="X513" s="337">
        <f t="shared" si="437"/>
        <v>4.7214797500359295E-5</v>
      </c>
      <c r="Y513" s="167"/>
      <c r="Z513" s="326">
        <f t="shared" si="438"/>
        <v>6.8409889606412598E-5</v>
      </c>
      <c r="AA513" s="635">
        <v>1</v>
      </c>
      <c r="AB513" s="638">
        <f t="shared" si="439"/>
        <v>126.85714285714286</v>
      </c>
      <c r="AC513" s="636">
        <f t="shared" si="440"/>
        <v>0</v>
      </c>
      <c r="AD513" s="292">
        <f t="shared" si="441"/>
        <v>0</v>
      </c>
      <c r="AE513" s="607" t="s">
        <v>99</v>
      </c>
      <c r="AF513" s="211"/>
    </row>
    <row r="514" spans="1:33" s="112" customFormat="1" ht="15" customHeight="1" x14ac:dyDescent="0.25">
      <c r="B514" s="178" t="s">
        <v>165</v>
      </c>
      <c r="C514" s="318"/>
      <c r="D514" s="193" t="s">
        <v>50</v>
      </c>
      <c r="E514" s="317"/>
      <c r="F514" s="481">
        <v>60</v>
      </c>
      <c r="G514" s="317"/>
      <c r="H514" s="193" t="s">
        <v>51</v>
      </c>
      <c r="I514" s="100"/>
      <c r="J514" s="321">
        <v>2</v>
      </c>
      <c r="K514" s="322"/>
      <c r="L514" s="193"/>
      <c r="M514" s="323"/>
      <c r="N514" s="323"/>
      <c r="O514" s="323"/>
      <c r="P514" s="321">
        <f>+'Staff Detail'!B32</f>
        <v>30</v>
      </c>
      <c r="Q514" s="322"/>
      <c r="R514" s="327">
        <f t="shared" si="434"/>
        <v>8.5714285714285712</v>
      </c>
      <c r="S514" s="322"/>
      <c r="T514" s="319">
        <f t="shared" si="435"/>
        <v>3600</v>
      </c>
      <c r="U514" s="317"/>
      <c r="V514" s="319">
        <f t="shared" si="436"/>
        <v>1028.5714285714287</v>
      </c>
      <c r="W514" s="320"/>
      <c r="X514" s="337">
        <f t="shared" si="437"/>
        <v>3.8282268243534565E-4</v>
      </c>
      <c r="Y514" s="167"/>
      <c r="Z514" s="326">
        <f t="shared" si="438"/>
        <v>5.5467478059253463E-4</v>
      </c>
      <c r="AA514" s="635">
        <v>1</v>
      </c>
      <c r="AB514" s="638">
        <f t="shared" si="439"/>
        <v>1028.5714285714287</v>
      </c>
      <c r="AC514" s="636">
        <f t="shared" si="440"/>
        <v>0</v>
      </c>
      <c r="AD514" s="292">
        <f t="shared" si="441"/>
        <v>0</v>
      </c>
      <c r="AE514" s="607" t="s">
        <v>102</v>
      </c>
      <c r="AF514" s="211"/>
    </row>
    <row r="515" spans="1:33" s="112" customFormat="1" ht="15" customHeight="1" x14ac:dyDescent="0.25">
      <c r="B515" s="178" t="s">
        <v>466</v>
      </c>
      <c r="C515" s="318"/>
      <c r="D515" s="193" t="s">
        <v>50</v>
      </c>
      <c r="E515" s="317"/>
      <c r="F515" s="321">
        <v>1</v>
      </c>
      <c r="G515" s="317"/>
      <c r="H515" s="193" t="s">
        <v>51</v>
      </c>
      <c r="I515" s="100"/>
      <c r="J515" s="321">
        <v>1</v>
      </c>
      <c r="K515" s="322"/>
      <c r="L515" s="193"/>
      <c r="M515" s="317"/>
      <c r="N515" s="323"/>
      <c r="O515" s="323"/>
      <c r="P515" s="321">
        <f>+'Staff Detail'!B$16</f>
        <v>89.67</v>
      </c>
      <c r="Q515" s="322"/>
      <c r="R515" s="327">
        <f t="shared" si="434"/>
        <v>25.62</v>
      </c>
      <c r="S515" s="322"/>
      <c r="T515" s="319">
        <f t="shared" si="435"/>
        <v>89.67</v>
      </c>
      <c r="U515" s="317"/>
      <c r="V515" s="319">
        <f t="shared" si="436"/>
        <v>25.62</v>
      </c>
      <c r="W515" s="320"/>
      <c r="X515" s="337">
        <f t="shared" si="437"/>
        <v>9.5354749816604005E-6</v>
      </c>
      <c r="Y515" s="167"/>
      <c r="Z515" s="326">
        <f>V515/$V$601</f>
        <v>1.3816024326592383E-5</v>
      </c>
      <c r="AA515" s="635">
        <v>1</v>
      </c>
      <c r="AB515" s="638">
        <f t="shared" si="439"/>
        <v>25.62</v>
      </c>
      <c r="AC515" s="636">
        <f t="shared" si="440"/>
        <v>0</v>
      </c>
      <c r="AD515" s="292">
        <f t="shared" si="441"/>
        <v>0</v>
      </c>
      <c r="AE515" s="607"/>
      <c r="AF515" s="211"/>
    </row>
    <row r="516" spans="1:33" s="112" customFormat="1" ht="15" customHeight="1" x14ac:dyDescent="0.25">
      <c r="B516" s="178" t="s">
        <v>148</v>
      </c>
      <c r="C516" s="318"/>
      <c r="D516" s="193" t="s">
        <v>149</v>
      </c>
      <c r="E516" s="317"/>
      <c r="F516" s="321">
        <v>1</v>
      </c>
      <c r="G516" s="317"/>
      <c r="H516" s="193" t="s">
        <v>51</v>
      </c>
      <c r="I516" s="100"/>
      <c r="J516" s="321">
        <v>2</v>
      </c>
      <c r="K516" s="322"/>
      <c r="L516" s="193"/>
      <c r="M516" s="323"/>
      <c r="N516" s="323"/>
      <c r="O516" s="323"/>
      <c r="P516" s="321">
        <v>500</v>
      </c>
      <c r="Q516" s="322"/>
      <c r="R516" s="327">
        <f t="shared" si="434"/>
        <v>142.85714285714286</v>
      </c>
      <c r="S516" s="322"/>
      <c r="T516" s="319">
        <f t="shared" si="435"/>
        <v>1000</v>
      </c>
      <c r="U516" s="317"/>
      <c r="V516" s="319">
        <f t="shared" si="436"/>
        <v>285.71428571428572</v>
      </c>
      <c r="W516" s="320"/>
      <c r="X516" s="337">
        <f t="shared" si="437"/>
        <v>1.0633963400981824E-4</v>
      </c>
      <c r="Y516" s="167"/>
      <c r="Z516" s="326">
        <f t="shared" si="438"/>
        <v>1.5407632794237072E-4</v>
      </c>
      <c r="AA516" s="635">
        <v>1</v>
      </c>
      <c r="AB516" s="638">
        <f t="shared" si="439"/>
        <v>285.71428571428572</v>
      </c>
      <c r="AC516" s="636">
        <f t="shared" si="440"/>
        <v>0</v>
      </c>
      <c r="AD516" s="292">
        <f t="shared" si="441"/>
        <v>0</v>
      </c>
      <c r="AE516" s="607" t="s">
        <v>102</v>
      </c>
      <c r="AF516" s="211"/>
    </row>
    <row r="517" spans="1:33" s="112" customFormat="1" ht="15" customHeight="1" x14ac:dyDescent="0.25">
      <c r="B517" s="178" t="s">
        <v>17</v>
      </c>
      <c r="C517" s="318"/>
      <c r="D517" s="193" t="s">
        <v>98</v>
      </c>
      <c r="E517" s="317"/>
      <c r="F517" s="321">
        <v>1</v>
      </c>
      <c r="G517" s="317"/>
      <c r="H517" s="193" t="s">
        <v>54</v>
      </c>
      <c r="I517" s="100"/>
      <c r="J517" s="321">
        <v>11</v>
      </c>
      <c r="K517" s="164"/>
      <c r="L517" s="193" t="s">
        <v>51</v>
      </c>
      <c r="M517" s="163"/>
      <c r="N517" s="321">
        <v>2</v>
      </c>
      <c r="O517" s="165"/>
      <c r="P517" s="606">
        <v>3.3</v>
      </c>
      <c r="Q517" s="322"/>
      <c r="R517" s="327">
        <f t="shared" si="434"/>
        <v>0.94285714285714284</v>
      </c>
      <c r="S517" s="322"/>
      <c r="T517" s="485">
        <f t="shared" si="435"/>
        <v>72.599999999999994</v>
      </c>
      <c r="U517" s="317"/>
      <c r="V517" s="319">
        <f t="shared" si="436"/>
        <v>20.74285714285714</v>
      </c>
      <c r="W517" s="320"/>
      <c r="X517" s="337">
        <f t="shared" si="437"/>
        <v>7.720257429112802E-6</v>
      </c>
      <c r="Y517" s="167"/>
      <c r="Z517" s="326">
        <f t="shared" si="438"/>
        <v>1.1185941408616112E-5</v>
      </c>
      <c r="AA517" s="635">
        <v>1</v>
      </c>
      <c r="AB517" s="638">
        <f t="shared" si="439"/>
        <v>20.74285714285714</v>
      </c>
      <c r="AC517" s="636">
        <f t="shared" si="440"/>
        <v>0</v>
      </c>
      <c r="AD517" s="292">
        <f t="shared" si="441"/>
        <v>0</v>
      </c>
      <c r="AE517" s="611" t="s">
        <v>55</v>
      </c>
      <c r="AF517" s="211"/>
    </row>
    <row r="518" spans="1:33" s="112" customFormat="1" ht="15" customHeight="1" thickBot="1" x14ac:dyDescent="0.3">
      <c r="A518" s="112" t="s">
        <v>547</v>
      </c>
      <c r="B518" s="468" t="s">
        <v>96</v>
      </c>
      <c r="C518" s="318"/>
      <c r="D518" s="324"/>
      <c r="E518" s="317"/>
      <c r="F518" s="322"/>
      <c r="G518" s="317"/>
      <c r="H518" s="324"/>
      <c r="I518" s="317"/>
      <c r="J518" s="162"/>
      <c r="K518" s="322"/>
      <c r="L518" s="323"/>
      <c r="M518" s="323"/>
      <c r="N518" s="166"/>
      <c r="O518" s="323"/>
      <c r="P518" s="322"/>
      <c r="Q518" s="322"/>
      <c r="R518" s="322"/>
      <c r="S518" s="322"/>
      <c r="T518" s="296">
        <f>SUM(T512:T517)</f>
        <v>5296.27</v>
      </c>
      <c r="U518" s="318"/>
      <c r="V518" s="296">
        <f>SUM(V512:V517)</f>
        <v>1513.2200000000003</v>
      </c>
      <c r="W518" s="134"/>
      <c r="X518" s="670">
        <f>SUM(X512:X517)</f>
        <v>5.6320341341718001E-4</v>
      </c>
      <c r="Y518" s="469"/>
      <c r="Z518" s="286">
        <f t="shared" si="438"/>
        <v>8.160298333913399E-4</v>
      </c>
      <c r="AA518" s="668"/>
      <c r="AB518" s="296">
        <f>SUM(AB512:AB517)</f>
        <v>1513.2200000000003</v>
      </c>
      <c r="AC518" s="637"/>
      <c r="AD518" s="296">
        <f>SUM(AD512:AD517)</f>
        <v>0</v>
      </c>
      <c r="AE518" s="607"/>
      <c r="AF518" s="211"/>
    </row>
    <row r="519" spans="1:33" s="112" customFormat="1" ht="15" customHeight="1" x14ac:dyDescent="0.25">
      <c r="B519" s="177"/>
      <c r="C519" s="318"/>
      <c r="D519" s="324"/>
      <c r="E519" s="100"/>
      <c r="F519" s="322"/>
      <c r="G519" s="94"/>
      <c r="H519" s="324"/>
      <c r="I519" s="100"/>
      <c r="J519" s="162"/>
      <c r="K519" s="164"/>
      <c r="L519" s="323"/>
      <c r="M519" s="323"/>
      <c r="N519" s="166"/>
      <c r="O519" s="323"/>
      <c r="P519" s="322"/>
      <c r="Q519" s="322"/>
      <c r="R519" s="322"/>
      <c r="S519" s="322"/>
      <c r="T519" s="302"/>
      <c r="U519" s="318"/>
      <c r="V519" s="302"/>
      <c r="W519" s="134"/>
      <c r="X519" s="344"/>
      <c r="Y519" s="240"/>
      <c r="Z519" s="290"/>
      <c r="AA519" s="94"/>
      <c r="AB519" s="648"/>
      <c r="AC519" s="94"/>
      <c r="AD519" s="94"/>
      <c r="AE519" s="607"/>
      <c r="AF519" s="211"/>
    </row>
    <row r="520" spans="1:33" s="112" customFormat="1" ht="15" customHeight="1" x14ac:dyDescent="0.25">
      <c r="B520" s="194" t="s">
        <v>150</v>
      </c>
      <c r="C520" s="318"/>
      <c r="D520" s="324"/>
      <c r="E520" s="100"/>
      <c r="F520" s="322"/>
      <c r="G520" s="94"/>
      <c r="H520" s="324"/>
      <c r="I520" s="100"/>
      <c r="J520" s="162"/>
      <c r="K520" s="164"/>
      <c r="L520" s="323"/>
      <c r="M520" s="323"/>
      <c r="N520" s="166"/>
      <c r="O520" s="323"/>
      <c r="P520" s="322"/>
      <c r="Q520" s="322"/>
      <c r="R520" s="322"/>
      <c r="S520" s="322"/>
      <c r="T520" s="302"/>
      <c r="U520" s="318"/>
      <c r="V520" s="302"/>
      <c r="W520" s="134"/>
      <c r="X520" s="344" t="s">
        <v>135</v>
      </c>
      <c r="Y520" s="240"/>
      <c r="Z520" s="290"/>
      <c r="AA520" s="94"/>
      <c r="AB520" s="648"/>
      <c r="AC520" s="94"/>
      <c r="AD520" s="94"/>
      <c r="AE520" s="607"/>
      <c r="AF520" s="211"/>
    </row>
    <row r="521" spans="1:33" s="112" customFormat="1" ht="15" customHeight="1" x14ac:dyDescent="0.25">
      <c r="B521" s="194" t="s">
        <v>548</v>
      </c>
      <c r="C521" s="318"/>
      <c r="D521" s="324"/>
      <c r="E521" s="100"/>
      <c r="F521" s="322"/>
      <c r="G521" s="94"/>
      <c r="H521" s="324"/>
      <c r="I521" s="100"/>
      <c r="J521" s="162"/>
      <c r="K521" s="164"/>
      <c r="L521" s="323"/>
      <c r="M521" s="323"/>
      <c r="N521" s="166"/>
      <c r="O521" s="323"/>
      <c r="P521" s="322"/>
      <c r="Q521" s="322"/>
      <c r="R521" s="322"/>
      <c r="S521" s="322"/>
      <c r="T521" s="302"/>
      <c r="U521" s="318"/>
      <c r="V521" s="302"/>
      <c r="W521" s="134"/>
      <c r="X521" s="344"/>
      <c r="Y521" s="240"/>
      <c r="Z521" s="290"/>
      <c r="AA521" s="94"/>
      <c r="AB521" s="648"/>
      <c r="AC521" s="94"/>
      <c r="AD521" s="94"/>
      <c r="AE521" s="607"/>
      <c r="AF521" s="211"/>
    </row>
    <row r="522" spans="1:33" s="112" customFormat="1" ht="15" customHeight="1" x14ac:dyDescent="0.25">
      <c r="B522" s="178" t="s">
        <v>413</v>
      </c>
      <c r="C522" s="318"/>
      <c r="D522" s="193" t="s">
        <v>50</v>
      </c>
      <c r="E522" s="100"/>
      <c r="F522" s="321">
        <v>1</v>
      </c>
      <c r="G522" s="94"/>
      <c r="H522" s="193" t="s">
        <v>51</v>
      </c>
      <c r="I522" s="100"/>
      <c r="J522" s="321">
        <v>81</v>
      </c>
      <c r="K522" s="164"/>
      <c r="L522" s="193"/>
      <c r="M522" s="317"/>
      <c r="N522" s="323"/>
      <c r="O522" s="323"/>
      <c r="P522" s="321">
        <f>+'Staff Detail'!B29</f>
        <v>222</v>
      </c>
      <c r="Q522" s="322"/>
      <c r="R522" s="327">
        <f t="shared" ref="R522:R529" si="442">P522/$V$6</f>
        <v>63.428571428571431</v>
      </c>
      <c r="S522" s="322"/>
      <c r="T522" s="319">
        <f t="shared" ref="T522:T529" si="443">IF(N522=0,IF(J522=0,F522*P522,F522*J522*P522),F522*J522*N522*P522)</f>
        <v>17982</v>
      </c>
      <c r="U522" s="317"/>
      <c r="V522" s="319">
        <f t="shared" ref="V522:V529" si="444">T522/$V$6</f>
        <v>5137.7142857142853</v>
      </c>
      <c r="W522" s="320"/>
      <c r="X522" s="337">
        <f t="shared" ref="X522:X529" si="445">V522/$V$3</f>
        <v>1.9121992987645514E-3</v>
      </c>
      <c r="Y522" s="167"/>
      <c r="Z522" s="326">
        <f t="shared" ref="Z522:Z530" si="446">V522/$V$601</f>
        <v>2.7706005290597099E-3</v>
      </c>
      <c r="AA522" s="635">
        <v>1</v>
      </c>
      <c r="AB522" s="638">
        <f t="shared" ref="AB522:AB529" si="447">+W522+V522*AA522</f>
        <v>5137.7142857142853</v>
      </c>
      <c r="AC522" s="636">
        <f t="shared" ref="AC522" si="448">+AD522/V522</f>
        <v>0</v>
      </c>
      <c r="AD522" s="292">
        <f t="shared" ref="AD522:AD529" si="449">+V522-AB522</f>
        <v>0</v>
      </c>
      <c r="AE522" s="607" t="s">
        <v>99</v>
      </c>
      <c r="AF522" s="211"/>
    </row>
    <row r="523" spans="1:33" s="491" customFormat="1" ht="15" customHeight="1" x14ac:dyDescent="0.25">
      <c r="B523" s="178" t="s">
        <v>411</v>
      </c>
      <c r="C523" s="478"/>
      <c r="D523" s="479" t="s">
        <v>50</v>
      </c>
      <c r="E523" s="482"/>
      <c r="F523" s="481">
        <v>1</v>
      </c>
      <c r="G523" s="659"/>
      <c r="H523" s="479" t="s">
        <v>51</v>
      </c>
      <c r="I523" s="482"/>
      <c r="J523" s="321">
        <f>(64+12)/2</f>
        <v>38</v>
      </c>
      <c r="K523" s="541"/>
      <c r="L523" s="479"/>
      <c r="M523" s="480"/>
      <c r="N523" s="478"/>
      <c r="O523" s="478"/>
      <c r="P523" s="732">
        <f>+'Staff Detail'!B36</f>
        <v>383.56164383561645</v>
      </c>
      <c r="Q523" s="483"/>
      <c r="R523" s="484">
        <f t="shared" si="442"/>
        <v>109.58904109589041</v>
      </c>
      <c r="S523" s="483"/>
      <c r="T523" s="485">
        <f t="shared" si="443"/>
        <v>14575.342465753425</v>
      </c>
      <c r="U523" s="480"/>
      <c r="V523" s="485">
        <f t="shared" si="444"/>
        <v>4164.3835616438355</v>
      </c>
      <c r="W523" s="486"/>
      <c r="X523" s="487">
        <f t="shared" si="445"/>
        <v>1.5499365833759808E-3</v>
      </c>
      <c r="Y523" s="488"/>
      <c r="Z523" s="489">
        <f t="shared" si="446"/>
        <v>2.2457152456257868E-3</v>
      </c>
      <c r="AA523" s="660">
        <v>1</v>
      </c>
      <c r="AB523" s="661">
        <f t="shared" si="447"/>
        <v>4164.3835616438355</v>
      </c>
      <c r="AC523" s="662">
        <f>+AD523/V523</f>
        <v>0</v>
      </c>
      <c r="AD523" s="483">
        <f t="shared" si="449"/>
        <v>0</v>
      </c>
      <c r="AE523" s="480" t="s">
        <v>99</v>
      </c>
      <c r="AF523" s="490"/>
    </row>
    <row r="524" spans="1:33" s="112" customFormat="1" ht="15" customHeight="1" x14ac:dyDescent="0.25">
      <c r="B524" s="178" t="s">
        <v>140</v>
      </c>
      <c r="C524" s="318"/>
      <c r="D524" s="193" t="s">
        <v>50</v>
      </c>
      <c r="E524" s="100"/>
      <c r="F524" s="321">
        <v>0</v>
      </c>
      <c r="G524" s="94"/>
      <c r="H524" s="193" t="s">
        <v>51</v>
      </c>
      <c r="I524" s="100"/>
      <c r="J524" s="321">
        <v>81</v>
      </c>
      <c r="K524" s="164"/>
      <c r="L524" s="193"/>
      <c r="M524" s="317"/>
      <c r="N524" s="323"/>
      <c r="O524" s="323"/>
      <c r="P524" s="321">
        <f>+'Staff Detail'!B20</f>
        <v>128.1</v>
      </c>
      <c r="Q524" s="322"/>
      <c r="R524" s="327">
        <f t="shared" si="442"/>
        <v>36.6</v>
      </c>
      <c r="S524" s="322"/>
      <c r="T524" s="319">
        <f t="shared" si="443"/>
        <v>0</v>
      </c>
      <c r="U524" s="317"/>
      <c r="V524" s="319">
        <f t="shared" si="444"/>
        <v>0</v>
      </c>
      <c r="W524" s="320"/>
      <c r="X524" s="337">
        <f t="shared" si="445"/>
        <v>0</v>
      </c>
      <c r="Y524" s="167"/>
      <c r="Z524" s="326">
        <f t="shared" si="446"/>
        <v>0</v>
      </c>
      <c r="AA524" s="635">
        <v>1</v>
      </c>
      <c r="AB524" s="638">
        <f t="shared" si="447"/>
        <v>0</v>
      </c>
      <c r="AC524" s="636" t="e">
        <f t="shared" ref="AC524:AC527" si="450">+AD524/V524</f>
        <v>#DIV/0!</v>
      </c>
      <c r="AD524" s="292">
        <f t="shared" si="449"/>
        <v>0</v>
      </c>
      <c r="AE524" s="607" t="s">
        <v>99</v>
      </c>
      <c r="AF524" s="211"/>
    </row>
    <row r="525" spans="1:33" s="112" customFormat="1" ht="15" customHeight="1" x14ac:dyDescent="0.25">
      <c r="B525" s="178" t="s">
        <v>147</v>
      </c>
      <c r="C525" s="318"/>
      <c r="D525" s="193" t="s">
        <v>50</v>
      </c>
      <c r="E525" s="317"/>
      <c r="F525" s="321">
        <v>60</v>
      </c>
      <c r="G525" s="317"/>
      <c r="H525" s="193" t="s">
        <v>51</v>
      </c>
      <c r="I525" s="100"/>
      <c r="J525" s="321">
        <v>81</v>
      </c>
      <c r="K525" s="322"/>
      <c r="L525" s="193"/>
      <c r="M525" s="323"/>
      <c r="N525" s="323"/>
      <c r="O525" s="323"/>
      <c r="P525" s="321">
        <f>+'Staff Detail'!B32</f>
        <v>30</v>
      </c>
      <c r="Q525" s="322"/>
      <c r="R525" s="327">
        <f t="shared" si="442"/>
        <v>8.5714285714285712</v>
      </c>
      <c r="S525" s="322"/>
      <c r="T525" s="319">
        <f t="shared" si="443"/>
        <v>145800</v>
      </c>
      <c r="U525" s="317"/>
      <c r="V525" s="319">
        <f t="shared" si="444"/>
        <v>41657.142857142855</v>
      </c>
      <c r="W525" s="320"/>
      <c r="X525" s="337">
        <f t="shared" si="445"/>
        <v>1.5504318638631498E-2</v>
      </c>
      <c r="Y525" s="167"/>
      <c r="Z525" s="326">
        <f t="shared" si="446"/>
        <v>2.246432861399765E-2</v>
      </c>
      <c r="AA525" s="635">
        <v>1</v>
      </c>
      <c r="AB525" s="638">
        <f t="shared" si="447"/>
        <v>41657.142857142855</v>
      </c>
      <c r="AC525" s="636">
        <f t="shared" si="450"/>
        <v>0</v>
      </c>
      <c r="AD525" s="292">
        <f t="shared" si="449"/>
        <v>0</v>
      </c>
      <c r="AE525" s="607" t="s">
        <v>102</v>
      </c>
      <c r="AF525" s="211"/>
    </row>
    <row r="526" spans="1:33" s="112" customFormat="1" ht="15" customHeight="1" x14ac:dyDescent="0.25">
      <c r="A526" s="455"/>
      <c r="B526" s="126" t="s">
        <v>466</v>
      </c>
      <c r="C526" s="801"/>
      <c r="D526" s="802" t="s">
        <v>50</v>
      </c>
      <c r="E526" s="805"/>
      <c r="F526" s="967">
        <v>1</v>
      </c>
      <c r="G526" s="805"/>
      <c r="H526" s="802" t="s">
        <v>51</v>
      </c>
      <c r="I526" s="803"/>
      <c r="J526" s="804">
        <v>3</v>
      </c>
      <c r="K526" s="807"/>
      <c r="L526" s="802"/>
      <c r="M526" s="805"/>
      <c r="N526" s="808"/>
      <c r="O526" s="808"/>
      <c r="P526" s="967">
        <v>90</v>
      </c>
      <c r="Q526" s="807"/>
      <c r="R526" s="968">
        <v>25.6</v>
      </c>
      <c r="S526" s="807"/>
      <c r="T526" s="811">
        <v>269</v>
      </c>
      <c r="U526" s="805"/>
      <c r="V526" s="811">
        <v>77</v>
      </c>
      <c r="W526" s="811"/>
      <c r="X526" s="812">
        <v>0</v>
      </c>
      <c r="Y526" s="813"/>
      <c r="Z526" s="814">
        <v>0</v>
      </c>
      <c r="AA526" s="815">
        <v>1</v>
      </c>
      <c r="AB526" s="816">
        <v>77</v>
      </c>
      <c r="AC526" s="817">
        <v>0</v>
      </c>
      <c r="AD526" s="818">
        <v>0</v>
      </c>
      <c r="AE526" s="819"/>
      <c r="AF526" s="820"/>
      <c r="AG526" s="455"/>
    </row>
    <row r="527" spans="1:33" s="112" customFormat="1" ht="15" customHeight="1" x14ac:dyDescent="0.25">
      <c r="B527" s="178" t="s">
        <v>148</v>
      </c>
      <c r="C527" s="318"/>
      <c r="D527" s="193" t="s">
        <v>149</v>
      </c>
      <c r="E527" s="317"/>
      <c r="F527" s="321">
        <v>1</v>
      </c>
      <c r="G527" s="317"/>
      <c r="H527" s="193" t="s">
        <v>51</v>
      </c>
      <c r="I527" s="100"/>
      <c r="J527" s="321">
        <v>81</v>
      </c>
      <c r="K527" s="322"/>
      <c r="L527" s="193"/>
      <c r="M527" s="323"/>
      <c r="N527" s="323"/>
      <c r="O527" s="323"/>
      <c r="P527" s="321">
        <v>500</v>
      </c>
      <c r="Q527" s="322"/>
      <c r="R527" s="327">
        <f t="shared" si="442"/>
        <v>142.85714285714286</v>
      </c>
      <c r="S527" s="322"/>
      <c r="T527" s="319">
        <f t="shared" si="443"/>
        <v>40500</v>
      </c>
      <c r="U527" s="317"/>
      <c r="V527" s="319">
        <f t="shared" si="444"/>
        <v>11571.428571428571</v>
      </c>
      <c r="W527" s="320"/>
      <c r="X527" s="337">
        <f t="shared" si="445"/>
        <v>4.306755177397638E-3</v>
      </c>
      <c r="Y527" s="167"/>
      <c r="Z527" s="326">
        <f t="shared" si="446"/>
        <v>6.2400912816660131E-3</v>
      </c>
      <c r="AA527" s="635">
        <v>1</v>
      </c>
      <c r="AB527" s="638">
        <f t="shared" si="447"/>
        <v>11571.428571428571</v>
      </c>
      <c r="AC527" s="636">
        <f t="shared" si="450"/>
        <v>0</v>
      </c>
      <c r="AD527" s="292">
        <f t="shared" si="449"/>
        <v>0</v>
      </c>
      <c r="AE527" s="607" t="s">
        <v>102</v>
      </c>
      <c r="AF527" s="211"/>
    </row>
    <row r="528" spans="1:33" s="112" customFormat="1" ht="15" customHeight="1" x14ac:dyDescent="0.25">
      <c r="B528" s="178" t="s">
        <v>241</v>
      </c>
      <c r="C528" s="318"/>
      <c r="D528" s="193" t="s">
        <v>50</v>
      </c>
      <c r="E528" s="317"/>
      <c r="F528" s="321">
        <v>1</v>
      </c>
      <c r="G528" s="317"/>
      <c r="H528" s="193" t="s">
        <v>51</v>
      </c>
      <c r="I528" s="100"/>
      <c r="J528" s="321">
        <v>81</v>
      </c>
      <c r="K528" s="164"/>
      <c r="L528" s="193"/>
      <c r="M528" s="163"/>
      <c r="N528" s="323"/>
      <c r="O528" s="165"/>
      <c r="P528" s="321">
        <f>+'Staff Detail'!B31</f>
        <v>31</v>
      </c>
      <c r="Q528" s="322"/>
      <c r="R528" s="327">
        <f t="shared" si="442"/>
        <v>8.8571428571428577</v>
      </c>
      <c r="S528" s="322"/>
      <c r="T528" s="319">
        <f t="shared" si="443"/>
        <v>2511</v>
      </c>
      <c r="U528" s="317"/>
      <c r="V528" s="319">
        <f t="shared" si="444"/>
        <v>717.42857142857144</v>
      </c>
      <c r="W528" s="320"/>
      <c r="X528" s="337">
        <f t="shared" si="445"/>
        <v>2.6701882099865361E-4</v>
      </c>
      <c r="Y528" s="167"/>
      <c r="Z528" s="326">
        <f t="shared" si="446"/>
        <v>3.8688565946329285E-4</v>
      </c>
      <c r="AA528" s="635">
        <v>1</v>
      </c>
      <c r="AB528" s="638">
        <f t="shared" si="447"/>
        <v>717.42857142857144</v>
      </c>
      <c r="AC528" s="636"/>
      <c r="AD528" s="292">
        <f t="shared" si="449"/>
        <v>0</v>
      </c>
      <c r="AE528" s="607"/>
      <c r="AF528" s="211"/>
    </row>
    <row r="529" spans="1:32" s="491" customFormat="1" ht="15" customHeight="1" x14ac:dyDescent="0.25">
      <c r="B529" s="178" t="s">
        <v>17</v>
      </c>
      <c r="C529" s="478"/>
      <c r="D529" s="479" t="s">
        <v>98</v>
      </c>
      <c r="E529" s="480"/>
      <c r="F529" s="481">
        <v>1</v>
      </c>
      <c r="G529" s="480"/>
      <c r="H529" s="479" t="s">
        <v>54</v>
      </c>
      <c r="I529" s="482"/>
      <c r="J529" s="481">
        <v>11.25</v>
      </c>
      <c r="K529" s="541"/>
      <c r="L529" s="479" t="s">
        <v>51</v>
      </c>
      <c r="M529" s="542"/>
      <c r="N529" s="481">
        <v>76</v>
      </c>
      <c r="O529" s="543"/>
      <c r="P529" s="481">
        <v>3.3</v>
      </c>
      <c r="Q529" s="483"/>
      <c r="R529" s="484">
        <f t="shared" si="442"/>
        <v>0.94285714285714284</v>
      </c>
      <c r="S529" s="483"/>
      <c r="T529" s="485">
        <f t="shared" si="443"/>
        <v>2821.5</v>
      </c>
      <c r="U529" s="480"/>
      <c r="V529" s="485">
        <f t="shared" si="444"/>
        <v>806.14285714285711</v>
      </c>
      <c r="W529" s="486"/>
      <c r="X529" s="487">
        <f t="shared" si="445"/>
        <v>3.0003727735870215E-4</v>
      </c>
      <c r="Y529" s="488"/>
      <c r="Z529" s="489">
        <f t="shared" si="446"/>
        <v>4.3472635928939893E-4</v>
      </c>
      <c r="AA529" s="660">
        <v>1</v>
      </c>
      <c r="AB529" s="661">
        <f t="shared" si="447"/>
        <v>806.14285714285711</v>
      </c>
      <c r="AC529" s="662">
        <f t="shared" ref="AC529" si="451">+AD529/V529</f>
        <v>0</v>
      </c>
      <c r="AD529" s="483">
        <f t="shared" si="449"/>
        <v>0</v>
      </c>
      <c r="AE529" s="797" t="s">
        <v>55</v>
      </c>
      <c r="AF529" s="490"/>
    </row>
    <row r="530" spans="1:32" s="112" customFormat="1" ht="15" customHeight="1" thickBot="1" x14ac:dyDescent="0.3">
      <c r="A530" s="112" t="s">
        <v>555</v>
      </c>
      <c r="B530" s="468" t="s">
        <v>96</v>
      </c>
      <c r="C530" s="318"/>
      <c r="D530" s="324"/>
      <c r="E530" s="317"/>
      <c r="F530" s="322"/>
      <c r="G530" s="317"/>
      <c r="H530" s="324"/>
      <c r="I530" s="317"/>
      <c r="J530" s="162"/>
      <c r="K530" s="322"/>
      <c r="L530" s="323"/>
      <c r="M530" s="323"/>
      <c r="N530" s="166"/>
      <c r="O530" s="323"/>
      <c r="P530" s="322"/>
      <c r="Q530" s="322"/>
      <c r="R530" s="322"/>
      <c r="S530" s="322"/>
      <c r="T530" s="296">
        <f>SUM(T522:T529)</f>
        <v>224458.84246575343</v>
      </c>
      <c r="U530" s="318"/>
      <c r="V530" s="296">
        <f>SUM(V522:V529)</f>
        <v>64131.240704500975</v>
      </c>
      <c r="W530" s="134"/>
      <c r="X530" s="359">
        <f>SUM(X522:X529)</f>
        <v>2.3840265796527024E-2</v>
      </c>
      <c r="Y530" s="469"/>
      <c r="Z530" s="286">
        <f t="shared" si="446"/>
        <v>3.458387125948232E-2</v>
      </c>
      <c r="AA530" s="668"/>
      <c r="AB530" s="296">
        <f>SUM(AB522:AB529)</f>
        <v>64131.240704500975</v>
      </c>
      <c r="AC530" s="637"/>
      <c r="AD530" s="296">
        <f>SUM(AD522:AD529)</f>
        <v>0</v>
      </c>
      <c r="AE530" s="607"/>
      <c r="AF530" s="211"/>
    </row>
    <row r="531" spans="1:32" s="112" customFormat="1" ht="15" customHeight="1" x14ac:dyDescent="0.25">
      <c r="B531" s="470"/>
      <c r="C531" s="318"/>
      <c r="D531" s="324"/>
      <c r="E531" s="100"/>
      <c r="F531" s="322"/>
      <c r="G531" s="94"/>
      <c r="H531" s="324"/>
      <c r="I531" s="100"/>
      <c r="J531" s="162"/>
      <c r="K531" s="164"/>
      <c r="L531" s="323"/>
      <c r="M531" s="323"/>
      <c r="N531" s="166"/>
      <c r="O531" s="323"/>
      <c r="P531" s="322"/>
      <c r="Q531" s="322"/>
      <c r="R531" s="322"/>
      <c r="S531" s="322"/>
      <c r="T531" s="134"/>
      <c r="U531" s="318"/>
      <c r="V531" s="134"/>
      <c r="W531" s="134"/>
      <c r="X531" s="355"/>
      <c r="Y531" s="469"/>
      <c r="Z531" s="290"/>
      <c r="AA531" s="94"/>
      <c r="AB531" s="648"/>
      <c r="AC531" s="94"/>
      <c r="AD531" s="94"/>
      <c r="AE531" s="607"/>
      <c r="AF531" s="211"/>
    </row>
    <row r="532" spans="1:32" s="112" customFormat="1" ht="15" customHeight="1" x14ac:dyDescent="0.25">
      <c r="B532" s="470" t="s">
        <v>549</v>
      </c>
      <c r="C532" s="318"/>
      <c r="D532" s="324"/>
      <c r="E532" s="100"/>
      <c r="F532" s="322"/>
      <c r="G532" s="94"/>
      <c r="H532" s="324"/>
      <c r="I532" s="100"/>
      <c r="J532" s="162"/>
      <c r="K532" s="164"/>
      <c r="L532" s="323"/>
      <c r="M532" s="323"/>
      <c r="N532" s="166"/>
      <c r="O532" s="323"/>
      <c r="P532" s="322"/>
      <c r="Q532" s="322"/>
      <c r="R532" s="322"/>
      <c r="S532" s="322"/>
      <c r="T532" s="134"/>
      <c r="U532" s="318"/>
      <c r="V532" s="134"/>
      <c r="W532" s="134"/>
      <c r="X532" s="355"/>
      <c r="Y532" s="469"/>
      <c r="Z532" s="290"/>
      <c r="AA532" s="94"/>
      <c r="AB532" s="648"/>
      <c r="AC532" s="94"/>
      <c r="AD532" s="94"/>
      <c r="AE532" s="607"/>
      <c r="AF532" s="211"/>
    </row>
    <row r="533" spans="1:32" s="491" customFormat="1" ht="15" customHeight="1" x14ac:dyDescent="0.25">
      <c r="B533" s="178" t="s">
        <v>411</v>
      </c>
      <c r="C533" s="478"/>
      <c r="D533" s="479" t="s">
        <v>50</v>
      </c>
      <c r="E533" s="482"/>
      <c r="F533" s="481">
        <v>1</v>
      </c>
      <c r="G533" s="659"/>
      <c r="H533" s="479" t="s">
        <v>51</v>
      </c>
      <c r="I533" s="482"/>
      <c r="J533" s="481">
        <v>5</v>
      </c>
      <c r="K533" s="541"/>
      <c r="L533" s="479"/>
      <c r="M533" s="480"/>
      <c r="N533" s="478"/>
      <c r="O533" s="478"/>
      <c r="P533" s="481">
        <f>+'Staff Detail'!B36</f>
        <v>383.56164383561645</v>
      </c>
      <c r="Q533" s="483"/>
      <c r="R533" s="484">
        <f t="shared" ref="R533:R535" si="452">P533/$V$6</f>
        <v>109.58904109589041</v>
      </c>
      <c r="S533" s="483"/>
      <c r="T533" s="485">
        <f t="shared" ref="T533:T535" si="453">IF(N533=0,IF(J533=0,F533*P533,F533*J533*P533),F533*J533*N533*P533)</f>
        <v>1917.8082191780823</v>
      </c>
      <c r="U533" s="480"/>
      <c r="V533" s="485">
        <f t="shared" ref="V533:V535" si="454">T533/$V$6</f>
        <v>547.94520547945206</v>
      </c>
      <c r="W533" s="486"/>
      <c r="X533" s="487">
        <f t="shared" ref="X533:X535" si="455">V533/$V$3</f>
        <v>2.0393902412841852E-4</v>
      </c>
      <c r="Y533" s="488"/>
      <c r="Z533" s="489">
        <f>V533/$V$601</f>
        <v>2.9548884810865617E-4</v>
      </c>
      <c r="AA533" s="660">
        <v>1</v>
      </c>
      <c r="AB533" s="661">
        <f>+W533+V533*AA533</f>
        <v>547.94520547945206</v>
      </c>
      <c r="AC533" s="662">
        <f>+AD533/V533</f>
        <v>0</v>
      </c>
      <c r="AD533" s="483">
        <f>+V533-AB533</f>
        <v>0</v>
      </c>
      <c r="AE533" s="480" t="s">
        <v>99</v>
      </c>
      <c r="AF533" s="490"/>
    </row>
    <row r="534" spans="1:32" s="112" customFormat="1" ht="15" customHeight="1" x14ac:dyDescent="0.25">
      <c r="B534" s="178" t="s">
        <v>413</v>
      </c>
      <c r="C534" s="318"/>
      <c r="D534" s="193" t="s">
        <v>50</v>
      </c>
      <c r="E534" s="100"/>
      <c r="F534" s="321">
        <v>1</v>
      </c>
      <c r="G534" s="94"/>
      <c r="H534" s="193" t="s">
        <v>51</v>
      </c>
      <c r="I534" s="100"/>
      <c r="J534" s="321">
        <v>5</v>
      </c>
      <c r="K534" s="164"/>
      <c r="L534" s="193"/>
      <c r="M534" s="317"/>
      <c r="N534" s="323"/>
      <c r="O534" s="323"/>
      <c r="P534" s="321">
        <f>+'Staff Detail'!B29</f>
        <v>222</v>
      </c>
      <c r="Q534" s="322"/>
      <c r="R534" s="327">
        <f t="shared" si="452"/>
        <v>63.428571428571431</v>
      </c>
      <c r="S534" s="322"/>
      <c r="T534" s="319">
        <f t="shared" si="453"/>
        <v>1110</v>
      </c>
      <c r="U534" s="317"/>
      <c r="V534" s="319">
        <f t="shared" si="454"/>
        <v>317.14285714285717</v>
      </c>
      <c r="W534" s="320"/>
      <c r="X534" s="337">
        <f t="shared" si="455"/>
        <v>1.1803699375089824E-4</v>
      </c>
      <c r="Y534" s="167"/>
      <c r="Z534" s="326">
        <f>V534/$V$601</f>
        <v>1.7102472401603152E-4</v>
      </c>
      <c r="AA534" s="635">
        <v>1</v>
      </c>
      <c r="AB534" s="638">
        <f>+W534+V534*AA534</f>
        <v>317.14285714285717</v>
      </c>
      <c r="AC534" s="636">
        <f>+AD534/V534</f>
        <v>0</v>
      </c>
      <c r="AD534" s="292">
        <f>+V534-AB534</f>
        <v>0</v>
      </c>
      <c r="AE534" s="607" t="s">
        <v>99</v>
      </c>
      <c r="AF534" s="211"/>
    </row>
    <row r="535" spans="1:32" s="112" customFormat="1" ht="15" customHeight="1" x14ac:dyDescent="0.25">
      <c r="B535" s="178" t="s">
        <v>254</v>
      </c>
      <c r="C535" s="318"/>
      <c r="D535" s="193" t="s">
        <v>50</v>
      </c>
      <c r="E535" s="100"/>
      <c r="F535" s="321">
        <v>1</v>
      </c>
      <c r="G535" s="94"/>
      <c r="H535" s="193" t="s">
        <v>51</v>
      </c>
      <c r="I535" s="100"/>
      <c r="J535" s="321">
        <v>5</v>
      </c>
      <c r="K535" s="164"/>
      <c r="L535" s="193"/>
      <c r="M535" s="317"/>
      <c r="N535" s="323"/>
      <c r="O535" s="323"/>
      <c r="P535" s="321">
        <f>+'Staff Detail'!B28</f>
        <v>249.04043835616437</v>
      </c>
      <c r="Q535" s="322"/>
      <c r="R535" s="327">
        <f t="shared" si="452"/>
        <v>71.154410958904108</v>
      </c>
      <c r="S535" s="322"/>
      <c r="T535" s="319">
        <f t="shared" si="453"/>
        <v>1245.202191780822</v>
      </c>
      <c r="U535" s="317"/>
      <c r="V535" s="319">
        <f t="shared" si="454"/>
        <v>355.77205479452056</v>
      </c>
      <c r="W535" s="320"/>
      <c r="X535" s="337">
        <f t="shared" si="455"/>
        <v>1.3241434534219611E-4</v>
      </c>
      <c r="Y535" s="167"/>
      <c r="Z535" s="326">
        <f>V535/$V$601</f>
        <v>1.918561812553807E-4</v>
      </c>
      <c r="AA535" s="635">
        <v>1</v>
      </c>
      <c r="AB535" s="638">
        <f>+W535+V535*AA535</f>
        <v>355.77205479452056</v>
      </c>
      <c r="AC535" s="636">
        <f>+AD535/V535</f>
        <v>0</v>
      </c>
      <c r="AD535" s="292">
        <f>+V535-AB535</f>
        <v>0</v>
      </c>
      <c r="AE535" s="607" t="s">
        <v>99</v>
      </c>
      <c r="AF535" s="211"/>
    </row>
    <row r="536" spans="1:32" s="112" customFormat="1" ht="15" customHeight="1" thickBot="1" x14ac:dyDescent="0.3">
      <c r="A536" s="112" t="s">
        <v>554</v>
      </c>
      <c r="B536" s="468" t="s">
        <v>96</v>
      </c>
      <c r="C536" s="318"/>
      <c r="D536" s="324"/>
      <c r="E536" s="317"/>
      <c r="F536" s="322"/>
      <c r="G536" s="317"/>
      <c r="H536" s="324"/>
      <c r="I536" s="317"/>
      <c r="J536" s="162"/>
      <c r="K536" s="322"/>
      <c r="L536" s="323"/>
      <c r="M536" s="323"/>
      <c r="N536" s="166"/>
      <c r="O536" s="323"/>
      <c r="P536" s="322"/>
      <c r="Q536" s="322"/>
      <c r="R536" s="322"/>
      <c r="S536" s="322"/>
      <c r="T536" s="296">
        <f>SUM(T533:T535)</f>
        <v>4273.0104109589047</v>
      </c>
      <c r="U536" s="318"/>
      <c r="V536" s="296">
        <f>SUM(V533:V535)</f>
        <v>1220.8601174168298</v>
      </c>
      <c r="W536" s="134"/>
      <c r="X536" s="359">
        <f>SUM(X533:X535)</f>
        <v>4.5439036322151286E-4</v>
      </c>
      <c r="Y536" s="469"/>
      <c r="Z536" s="286">
        <f>V536/$V$601</f>
        <v>6.5836975338006841E-4</v>
      </c>
      <c r="AA536" s="668"/>
      <c r="AB536" s="296">
        <f>SUM(AB533:AB535)</f>
        <v>1220.8601174168298</v>
      </c>
      <c r="AC536" s="637"/>
      <c r="AD536" s="296">
        <f>+V536-AB536</f>
        <v>0</v>
      </c>
      <c r="AE536" s="607"/>
      <c r="AF536" s="211"/>
    </row>
    <row r="537" spans="1:32" s="112" customFormat="1" ht="15" customHeight="1" x14ac:dyDescent="0.25">
      <c r="B537" s="470" t="s">
        <v>135</v>
      </c>
      <c r="C537" s="318"/>
      <c r="D537" s="324"/>
      <c r="E537" s="100"/>
      <c r="F537" s="322"/>
      <c r="G537" s="94"/>
      <c r="H537" s="324"/>
      <c r="I537" s="100"/>
      <c r="J537" s="162"/>
      <c r="K537" s="164"/>
      <c r="L537" s="323"/>
      <c r="M537" s="323"/>
      <c r="N537" s="166"/>
      <c r="O537" s="323"/>
      <c r="P537" s="322"/>
      <c r="Q537" s="322"/>
      <c r="R537" s="322"/>
      <c r="S537" s="322"/>
      <c r="T537" s="134"/>
      <c r="U537" s="318"/>
      <c r="V537" s="134"/>
      <c r="W537" s="134"/>
      <c r="X537" s="355"/>
      <c r="Y537" s="469"/>
      <c r="Z537" s="290"/>
      <c r="AA537" s="94"/>
      <c r="AB537" s="648"/>
      <c r="AC537" s="94"/>
      <c r="AD537" s="94"/>
      <c r="AE537" s="607"/>
      <c r="AF537" s="211"/>
    </row>
    <row r="538" spans="1:32" s="112" customFormat="1" ht="15" customHeight="1" x14ac:dyDescent="0.25">
      <c r="B538" s="470" t="s">
        <v>550</v>
      </c>
      <c r="C538" s="318"/>
      <c r="D538" s="324"/>
      <c r="E538" s="100"/>
      <c r="F538" s="322"/>
      <c r="G538" s="94"/>
      <c r="H538" s="324"/>
      <c r="I538" s="100"/>
      <c r="J538" s="162"/>
      <c r="K538" s="164"/>
      <c r="L538" s="323"/>
      <c r="M538" s="323"/>
      <c r="N538" s="166"/>
      <c r="O538" s="323"/>
      <c r="P538" s="322"/>
      <c r="Q538" s="322"/>
      <c r="R538" s="322"/>
      <c r="S538" s="322"/>
      <c r="T538" s="134"/>
      <c r="U538" s="318"/>
      <c r="V538" s="134"/>
      <c r="W538" s="134"/>
      <c r="X538" s="355"/>
      <c r="Y538" s="469"/>
      <c r="Z538" s="290"/>
      <c r="AA538" s="94"/>
      <c r="AB538" s="648"/>
      <c r="AC538" s="94"/>
      <c r="AD538" s="94"/>
      <c r="AE538" s="607"/>
      <c r="AF538" s="211"/>
    </row>
    <row r="539" spans="1:32" s="112" customFormat="1" ht="15" customHeight="1" x14ac:dyDescent="0.25">
      <c r="B539" s="178" t="s">
        <v>285</v>
      </c>
      <c r="C539" s="318"/>
      <c r="D539" s="193" t="s">
        <v>50</v>
      </c>
      <c r="E539" s="100"/>
      <c r="F539" s="321">
        <v>1</v>
      </c>
      <c r="G539" s="94"/>
      <c r="H539" s="193" t="s">
        <v>51</v>
      </c>
      <c r="I539" s="100"/>
      <c r="J539" s="321">
        <v>6</v>
      </c>
      <c r="K539" s="164"/>
      <c r="L539" s="193"/>
      <c r="M539" s="317"/>
      <c r="N539" s="323"/>
      <c r="O539" s="323"/>
      <c r="P539" s="606">
        <f>+'Staff Detail'!B28</f>
        <v>249.04043835616437</v>
      </c>
      <c r="Q539" s="322"/>
      <c r="R539" s="327">
        <f t="shared" ref="R539:R544" si="456">P539/$V$6</f>
        <v>71.154410958904108</v>
      </c>
      <c r="S539" s="322"/>
      <c r="T539" s="319">
        <f t="shared" ref="T539:T544" si="457">IF(N539=0,IF(J539=0,F539*P539,F539*J539*P539),F539*J539*N539*P539)</f>
        <v>1494.2426301369862</v>
      </c>
      <c r="U539" s="317"/>
      <c r="V539" s="319">
        <f t="shared" ref="V539:V544" si="458">T539/$V$6</f>
        <v>426.92646575342462</v>
      </c>
      <c r="W539" s="320"/>
      <c r="X539" s="337">
        <f t="shared" ref="X539:X544" si="459">V539/$V$3</f>
        <v>1.5889721441063529E-4</v>
      </c>
      <c r="Y539" s="167"/>
      <c r="Z539" s="326">
        <f t="shared" ref="Z539:Z545" si="460">V539/$V$601</f>
        <v>2.3022741750645682E-4</v>
      </c>
      <c r="AA539" s="635">
        <v>1</v>
      </c>
      <c r="AB539" s="638">
        <f t="shared" ref="AB539:AB544" si="461">+W539+V539*AA539</f>
        <v>426.92646575342462</v>
      </c>
      <c r="AC539" s="636">
        <f t="shared" ref="AC539:AC544" si="462">+AD539/V539</f>
        <v>0</v>
      </c>
      <c r="AD539" s="292">
        <f t="shared" ref="AD539:AD545" si="463">+V539-AB539</f>
        <v>0</v>
      </c>
      <c r="AE539" s="607" t="s">
        <v>99</v>
      </c>
      <c r="AF539" s="211"/>
    </row>
    <row r="540" spans="1:32" s="112" customFormat="1" ht="15" customHeight="1" x14ac:dyDescent="0.25">
      <c r="B540" s="178" t="s">
        <v>497</v>
      </c>
      <c r="C540" s="318"/>
      <c r="D540" s="193" t="s">
        <v>50</v>
      </c>
      <c r="E540" s="100"/>
      <c r="F540" s="321">
        <v>3</v>
      </c>
      <c r="G540" s="94"/>
      <c r="H540" s="193" t="s">
        <v>51</v>
      </c>
      <c r="I540" s="100"/>
      <c r="J540" s="321">
        <v>3</v>
      </c>
      <c r="K540" s="164"/>
      <c r="L540" s="193"/>
      <c r="M540" s="317"/>
      <c r="N540" s="323"/>
      <c r="O540" s="323"/>
      <c r="P540" s="321">
        <f>+'Staff Detail'!B21</f>
        <v>119.56</v>
      </c>
      <c r="Q540" s="322"/>
      <c r="R540" s="327">
        <f t="shared" si="456"/>
        <v>34.160000000000004</v>
      </c>
      <c r="S540" s="322"/>
      <c r="T540" s="319">
        <f t="shared" si="457"/>
        <v>1076.04</v>
      </c>
      <c r="U540" s="317"/>
      <c r="V540" s="319">
        <f t="shared" si="458"/>
        <v>307.44</v>
      </c>
      <c r="W540" s="320"/>
      <c r="X540" s="337">
        <f t="shared" si="459"/>
        <v>1.1442569977992481E-4</v>
      </c>
      <c r="Y540" s="167"/>
      <c r="Z540" s="326">
        <f t="shared" si="460"/>
        <v>1.6579229191910857E-4</v>
      </c>
      <c r="AA540" s="635">
        <v>1</v>
      </c>
      <c r="AB540" s="638">
        <f t="shared" si="461"/>
        <v>307.44</v>
      </c>
      <c r="AC540" s="636">
        <f t="shared" si="462"/>
        <v>0</v>
      </c>
      <c r="AD540" s="292">
        <f t="shared" si="463"/>
        <v>0</v>
      </c>
      <c r="AE540" s="607" t="s">
        <v>99</v>
      </c>
      <c r="AF540" s="211"/>
    </row>
    <row r="541" spans="1:32" s="112" customFormat="1" ht="15" customHeight="1" x14ac:dyDescent="0.25">
      <c r="B541" s="178" t="s">
        <v>453</v>
      </c>
      <c r="C541" s="318"/>
      <c r="D541" s="193" t="s">
        <v>50</v>
      </c>
      <c r="E541" s="100"/>
      <c r="F541" s="321">
        <v>3</v>
      </c>
      <c r="G541" s="94"/>
      <c r="H541" s="193" t="s">
        <v>51</v>
      </c>
      <c r="I541" s="100"/>
      <c r="J541" s="321">
        <v>1</v>
      </c>
      <c r="K541" s="164"/>
      <c r="L541" s="193"/>
      <c r="M541" s="317"/>
      <c r="N541" s="323"/>
      <c r="O541" s="323"/>
      <c r="P541" s="321">
        <f>+'Staff Detail'!B20</f>
        <v>128.1</v>
      </c>
      <c r="Q541" s="322"/>
      <c r="R541" s="327">
        <f t="shared" si="456"/>
        <v>36.6</v>
      </c>
      <c r="S541" s="322"/>
      <c r="T541" s="319">
        <f t="shared" si="457"/>
        <v>384.29999999999995</v>
      </c>
      <c r="U541" s="317"/>
      <c r="V541" s="319">
        <f t="shared" si="458"/>
        <v>109.79999999999998</v>
      </c>
      <c r="W541" s="320"/>
      <c r="X541" s="337">
        <f t="shared" si="459"/>
        <v>4.0866321349973139E-5</v>
      </c>
      <c r="Y541" s="167"/>
      <c r="Z541" s="326">
        <f t="shared" si="460"/>
        <v>5.9211532828253056E-5</v>
      </c>
      <c r="AA541" s="635">
        <v>1</v>
      </c>
      <c r="AB541" s="638">
        <f t="shared" si="461"/>
        <v>109.79999999999998</v>
      </c>
      <c r="AC541" s="636">
        <f t="shared" si="462"/>
        <v>0</v>
      </c>
      <c r="AD541" s="292">
        <f t="shared" si="463"/>
        <v>0</v>
      </c>
      <c r="AE541" s="607" t="s">
        <v>99</v>
      </c>
      <c r="AF541" s="211"/>
    </row>
    <row r="542" spans="1:32" s="491" customFormat="1" ht="15" customHeight="1" x14ac:dyDescent="0.25">
      <c r="B542" s="178" t="s">
        <v>415</v>
      </c>
      <c r="C542" s="478"/>
      <c r="D542" s="479" t="s">
        <v>50</v>
      </c>
      <c r="E542" s="482"/>
      <c r="F542" s="481">
        <v>2</v>
      </c>
      <c r="G542" s="659"/>
      <c r="H542" s="479" t="s">
        <v>51</v>
      </c>
      <c r="I542" s="482"/>
      <c r="J542" s="481">
        <v>2</v>
      </c>
      <c r="K542" s="541"/>
      <c r="L542" s="479"/>
      <c r="M542" s="480"/>
      <c r="N542" s="478"/>
      <c r="O542" s="478"/>
      <c r="P542" s="481">
        <f>+'Staff Detail'!B37</f>
        <v>383.56164383561645</v>
      </c>
      <c r="Q542" s="483"/>
      <c r="R542" s="484">
        <f t="shared" si="456"/>
        <v>109.58904109589041</v>
      </c>
      <c r="S542" s="483"/>
      <c r="T542" s="485">
        <f t="shared" si="457"/>
        <v>1534.2465753424658</v>
      </c>
      <c r="U542" s="480"/>
      <c r="V542" s="485">
        <f t="shared" si="458"/>
        <v>438.35616438356163</v>
      </c>
      <c r="W542" s="486"/>
      <c r="X542" s="487">
        <f t="shared" si="459"/>
        <v>1.6315121930273482E-4</v>
      </c>
      <c r="Y542" s="488"/>
      <c r="Z542" s="489">
        <f t="shared" si="460"/>
        <v>2.3639107848692493E-4</v>
      </c>
      <c r="AA542" s="660">
        <v>1</v>
      </c>
      <c r="AB542" s="661">
        <f t="shared" si="461"/>
        <v>438.35616438356163</v>
      </c>
      <c r="AC542" s="662">
        <f t="shared" si="462"/>
        <v>0</v>
      </c>
      <c r="AD542" s="483">
        <f t="shared" si="463"/>
        <v>0</v>
      </c>
      <c r="AE542" s="480" t="s">
        <v>99</v>
      </c>
      <c r="AF542" s="490"/>
    </row>
    <row r="543" spans="1:32" s="491" customFormat="1" ht="15" customHeight="1" x14ac:dyDescent="0.25">
      <c r="B543" s="178" t="s">
        <v>455</v>
      </c>
      <c r="C543" s="478"/>
      <c r="D543" s="479" t="s">
        <v>50</v>
      </c>
      <c r="E543" s="482"/>
      <c r="F543" s="481">
        <v>1</v>
      </c>
      <c r="G543" s="659"/>
      <c r="H543" s="479" t="s">
        <v>51</v>
      </c>
      <c r="I543" s="482"/>
      <c r="J543" s="481">
        <v>1</v>
      </c>
      <c r="K543" s="541"/>
      <c r="L543" s="479"/>
      <c r="M543" s="482"/>
      <c r="N543" s="478"/>
      <c r="O543" s="543"/>
      <c r="P543" s="481">
        <f>+'Staff Detail'!B44</f>
        <v>1179.4520547945203</v>
      </c>
      <c r="Q543" s="483"/>
      <c r="R543" s="484">
        <f t="shared" si="456"/>
        <v>336.98630136986293</v>
      </c>
      <c r="S543" s="483"/>
      <c r="T543" s="485">
        <f t="shared" ref="T543" si="464">IF(N543=0,IF(J543=0,F543*P543,F543*J543*P543),F543*J543*N543*P543)</f>
        <v>1179.4520547945203</v>
      </c>
      <c r="U543" s="480"/>
      <c r="V543" s="485">
        <f t="shared" ref="V543" si="465">T543/$V$6</f>
        <v>336.98630136986293</v>
      </c>
      <c r="W543" s="486"/>
      <c r="X543" s="487">
        <f t="shared" ref="X543" si="466">V543/$V$3</f>
        <v>1.2542249983897737E-4</v>
      </c>
      <c r="Y543" s="488"/>
      <c r="Z543" s="489">
        <f t="shared" si="460"/>
        <v>1.817256415868235E-4</v>
      </c>
      <c r="AA543" s="660">
        <v>0</v>
      </c>
      <c r="AB543" s="661">
        <f t="shared" si="461"/>
        <v>0</v>
      </c>
      <c r="AC543" s="662">
        <f t="shared" ref="AC543" si="467">+AD543/V543</f>
        <v>1</v>
      </c>
      <c r="AD543" s="483">
        <f t="shared" si="463"/>
        <v>336.98630136986293</v>
      </c>
      <c r="AE543" s="480" t="s">
        <v>99</v>
      </c>
      <c r="AF543" s="490"/>
    </row>
    <row r="544" spans="1:32" s="112" customFormat="1" ht="15" customHeight="1" x14ac:dyDescent="0.25">
      <c r="B544" s="178" t="s">
        <v>17</v>
      </c>
      <c r="C544" s="318"/>
      <c r="D544" s="193" t="s">
        <v>98</v>
      </c>
      <c r="E544" s="317"/>
      <c r="F544" s="321">
        <v>0</v>
      </c>
      <c r="G544" s="317"/>
      <c r="H544" s="193" t="s">
        <v>54</v>
      </c>
      <c r="I544" s="100"/>
      <c r="J544" s="321">
        <v>0</v>
      </c>
      <c r="K544" s="164"/>
      <c r="L544" s="193" t="s">
        <v>51</v>
      </c>
      <c r="M544" s="163"/>
      <c r="N544" s="321">
        <v>1</v>
      </c>
      <c r="O544" s="165"/>
      <c r="P544" s="321">
        <v>0</v>
      </c>
      <c r="Q544" s="322"/>
      <c r="R544" s="327">
        <f t="shared" si="456"/>
        <v>0</v>
      </c>
      <c r="S544" s="322"/>
      <c r="T544" s="319">
        <f t="shared" si="457"/>
        <v>0</v>
      </c>
      <c r="U544" s="317"/>
      <c r="V544" s="319">
        <f t="shared" si="458"/>
        <v>0</v>
      </c>
      <c r="W544" s="320"/>
      <c r="X544" s="337">
        <f t="shared" si="459"/>
        <v>0</v>
      </c>
      <c r="Y544" s="167"/>
      <c r="Z544" s="326">
        <f t="shared" si="460"/>
        <v>0</v>
      </c>
      <c r="AA544" s="635">
        <v>1</v>
      </c>
      <c r="AB544" s="638">
        <f t="shared" si="461"/>
        <v>0</v>
      </c>
      <c r="AC544" s="636" t="e">
        <f t="shared" si="462"/>
        <v>#DIV/0!</v>
      </c>
      <c r="AD544" s="292">
        <f t="shared" si="463"/>
        <v>0</v>
      </c>
      <c r="AE544" s="611" t="s">
        <v>55</v>
      </c>
      <c r="AF544" s="211"/>
    </row>
    <row r="545" spans="1:32" s="112" customFormat="1" ht="15" customHeight="1" x14ac:dyDescent="0.25">
      <c r="A545" s="112" t="s">
        <v>553</v>
      </c>
      <c r="B545" s="495" t="s">
        <v>96</v>
      </c>
      <c r="C545" s="262"/>
      <c r="D545" s="496"/>
      <c r="E545" s="101"/>
      <c r="F545" s="497"/>
      <c r="G545" s="101"/>
      <c r="H545" s="496"/>
      <c r="I545" s="101"/>
      <c r="J545" s="498"/>
      <c r="K545" s="497"/>
      <c r="L545" s="499"/>
      <c r="M545" s="499"/>
      <c r="N545" s="500"/>
      <c r="O545" s="499"/>
      <c r="P545" s="497"/>
      <c r="Q545" s="497"/>
      <c r="R545" s="497"/>
      <c r="S545" s="497"/>
      <c r="T545" s="501">
        <f>SUM(T539:T544)</f>
        <v>5668.2812602739723</v>
      </c>
      <c r="U545" s="262"/>
      <c r="V545" s="501">
        <f>SUM(V539:V544)</f>
        <v>1619.5089315068492</v>
      </c>
      <c r="W545" s="134"/>
      <c r="X545" s="697">
        <f>SUM(X539:X544)</f>
        <v>6.0276295468224543E-4</v>
      </c>
      <c r="Y545" s="469"/>
      <c r="Z545" s="503">
        <f t="shared" si="460"/>
        <v>8.7334796232756693E-4</v>
      </c>
      <c r="AA545" s="668"/>
      <c r="AB545" s="501">
        <f>SUM(AB539:AB544)</f>
        <v>1282.5226301369862</v>
      </c>
      <c r="AC545" s="637"/>
      <c r="AD545" s="292">
        <f t="shared" si="463"/>
        <v>336.98630136986299</v>
      </c>
      <c r="AE545" s="718"/>
      <c r="AF545" s="211"/>
    </row>
    <row r="546" spans="1:32" s="112" customFormat="1" ht="15" customHeight="1" x14ac:dyDescent="0.25">
      <c r="B546" s="470"/>
      <c r="C546" s="841"/>
      <c r="D546" s="496"/>
      <c r="E546" s="101"/>
      <c r="F546" s="497"/>
      <c r="G546" s="101"/>
      <c r="H546" s="496"/>
      <c r="I546" s="101"/>
      <c r="J546" s="498"/>
      <c r="K546" s="497"/>
      <c r="L546" s="499"/>
      <c r="M546" s="499"/>
      <c r="N546" s="500"/>
      <c r="O546" s="499"/>
      <c r="P546" s="497"/>
      <c r="Q546" s="497"/>
      <c r="R546" s="497"/>
      <c r="S546" s="497"/>
      <c r="T546" s="134"/>
      <c r="U546" s="262"/>
      <c r="V546" s="134"/>
      <c r="W546" s="134"/>
      <c r="X546" s="842"/>
      <c r="Y546" s="469"/>
      <c r="Z546" s="290"/>
      <c r="AA546" s="668"/>
      <c r="AB546" s="134"/>
      <c r="AC546" s="637"/>
      <c r="AD546" s="292"/>
      <c r="AE546" s="718"/>
      <c r="AF546" s="211"/>
    </row>
    <row r="547" spans="1:32" s="112" customFormat="1" ht="15" customHeight="1" x14ac:dyDescent="0.25">
      <c r="A547" s="112" t="s">
        <v>552</v>
      </c>
      <c r="B547" s="470" t="s">
        <v>551</v>
      </c>
      <c r="C547" s="318"/>
      <c r="D547" s="324"/>
      <c r="E547" s="100"/>
      <c r="F547" s="608"/>
      <c r="G547" s="94"/>
      <c r="H547" s="324"/>
      <c r="I547" s="100"/>
      <c r="J547" s="162"/>
      <c r="K547" s="164"/>
      <c r="L547" s="323"/>
      <c r="M547" s="323"/>
      <c r="N547" s="166"/>
      <c r="O547" s="323"/>
      <c r="P547" s="322"/>
      <c r="Q547" s="322"/>
      <c r="R547" s="322"/>
      <c r="S547" s="322"/>
      <c r="T547" s="134"/>
      <c r="U547" s="318"/>
      <c r="V547" s="134"/>
      <c r="W547" s="134"/>
      <c r="X547" s="355"/>
      <c r="Y547" s="469"/>
      <c r="Z547" s="290"/>
      <c r="AA547" s="94"/>
      <c r="AB547" s="648"/>
      <c r="AC547" s="94"/>
      <c r="AD547" s="94"/>
      <c r="AE547" s="607"/>
      <c r="AF547" s="211"/>
    </row>
    <row r="548" spans="1:32" s="112" customFormat="1" ht="15" customHeight="1" x14ac:dyDescent="0.25">
      <c r="B548" s="470" t="s">
        <v>451</v>
      </c>
      <c r="C548" s="318"/>
      <c r="D548" s="324"/>
      <c r="E548" s="100"/>
      <c r="F548" s="608"/>
      <c r="G548" s="94"/>
      <c r="H548" s="324"/>
      <c r="I548" s="100"/>
      <c r="J548" s="162"/>
      <c r="K548" s="164"/>
      <c r="L548" s="323"/>
      <c r="M548" s="323"/>
      <c r="N548" s="166"/>
      <c r="O548" s="323"/>
      <c r="P548" s="322"/>
      <c r="Q548" s="322"/>
      <c r="R548" s="322"/>
      <c r="S548" s="322"/>
      <c r="T548" s="134"/>
      <c r="U548" s="318"/>
      <c r="V548" s="134"/>
      <c r="W548" s="134"/>
      <c r="X548" s="355"/>
      <c r="Y548" s="469"/>
      <c r="Z548" s="290"/>
      <c r="AA548" s="94"/>
      <c r="AB548" s="648"/>
      <c r="AC548" s="94"/>
      <c r="AD548" s="94"/>
      <c r="AE548" s="607"/>
      <c r="AF548" s="211"/>
    </row>
    <row r="549" spans="1:32" s="112" customFormat="1" ht="15" customHeight="1" x14ac:dyDescent="0.25">
      <c r="B549" s="178" t="s">
        <v>421</v>
      </c>
      <c r="C549" s="318"/>
      <c r="D549" s="193" t="s">
        <v>50</v>
      </c>
      <c r="E549" s="100"/>
      <c r="F549" s="481">
        <v>1</v>
      </c>
      <c r="G549" s="94"/>
      <c r="H549" s="193" t="s">
        <v>51</v>
      </c>
      <c r="I549" s="100"/>
      <c r="J549" s="321">
        <v>2</v>
      </c>
      <c r="K549" s="164"/>
      <c r="L549" s="193"/>
      <c r="M549" s="317"/>
      <c r="N549" s="323"/>
      <c r="O549" s="323"/>
      <c r="P549" s="481">
        <f>+'Staff Detail'!B$27</f>
        <v>226.57906849315069</v>
      </c>
      <c r="Q549" s="322"/>
      <c r="R549" s="327">
        <f t="shared" ref="R549:R552" si="468">P549/$V$6</f>
        <v>64.736876712328765</v>
      </c>
      <c r="S549" s="322"/>
      <c r="T549" s="319">
        <f t="shared" ref="T549:T552" si="469">IF(N549=0,IF(J549=0,F549*P549,F549*J549*P549),F549*J549*N549*P549)</f>
        <v>453.15813698630137</v>
      </c>
      <c r="U549" s="317"/>
      <c r="V549" s="319">
        <f t="shared" ref="V549:V552" si="470">T549/$V$6</f>
        <v>129.47375342465753</v>
      </c>
      <c r="W549" s="320"/>
      <c r="X549" s="337">
        <f t="shared" ref="X549:X552" si="471">V549/$V$3</f>
        <v>4.8188670435694361E-5</v>
      </c>
      <c r="Y549" s="167"/>
      <c r="Z549" s="326">
        <f>V549/$V$601</f>
        <v>6.982094172405512E-5</v>
      </c>
      <c r="AA549" s="635">
        <v>1</v>
      </c>
      <c r="AB549" s="638">
        <f>+W549+V549*AA549</f>
        <v>129.47375342465753</v>
      </c>
      <c r="AC549" s="636">
        <f t="shared" ref="AC549:AC552" si="472">+AD549/V549</f>
        <v>0</v>
      </c>
      <c r="AD549" s="292">
        <f>+V549-AB549</f>
        <v>0</v>
      </c>
      <c r="AE549" s="607" t="s">
        <v>99</v>
      </c>
      <c r="AF549" s="211"/>
    </row>
    <row r="550" spans="1:32" s="112" customFormat="1" ht="15" customHeight="1" x14ac:dyDescent="0.25">
      <c r="B550" s="178" t="s">
        <v>453</v>
      </c>
      <c r="C550" s="318"/>
      <c r="D550" s="193" t="s">
        <v>50</v>
      </c>
      <c r="E550" s="100"/>
      <c r="F550" s="481">
        <v>1</v>
      </c>
      <c r="G550" s="94"/>
      <c r="H550" s="193" t="s">
        <v>51</v>
      </c>
      <c r="I550" s="100"/>
      <c r="J550" s="321">
        <v>2</v>
      </c>
      <c r="K550" s="164"/>
      <c r="L550" s="193"/>
      <c r="M550" s="317"/>
      <c r="N550" s="323"/>
      <c r="O550" s="323"/>
      <c r="P550" s="481">
        <f>+'Staff Detail'!D310+'Staff Detail'!B$20</f>
        <v>128.1</v>
      </c>
      <c r="Q550" s="322"/>
      <c r="R550" s="327">
        <f t="shared" si="468"/>
        <v>36.6</v>
      </c>
      <c r="S550" s="322"/>
      <c r="T550" s="319">
        <f t="shared" si="469"/>
        <v>256.2</v>
      </c>
      <c r="U550" s="317"/>
      <c r="V550" s="319">
        <f t="shared" si="470"/>
        <v>73.2</v>
      </c>
      <c r="W550" s="320"/>
      <c r="X550" s="337">
        <f t="shared" si="471"/>
        <v>2.7244214233315433E-5</v>
      </c>
      <c r="Y550" s="167"/>
      <c r="Z550" s="326">
        <f>V550/$V$601</f>
        <v>3.947435521883538E-5</v>
      </c>
      <c r="AA550" s="635">
        <v>1</v>
      </c>
      <c r="AB550" s="638">
        <f>+W550+V550*AA550</f>
        <v>73.2</v>
      </c>
      <c r="AC550" s="636">
        <f t="shared" si="472"/>
        <v>0</v>
      </c>
      <c r="AD550" s="292">
        <f>+V550-AB550</f>
        <v>0</v>
      </c>
      <c r="AE550" s="607" t="s">
        <v>99</v>
      </c>
      <c r="AF550" s="211"/>
    </row>
    <row r="551" spans="1:32" s="112" customFormat="1" ht="15" customHeight="1" x14ac:dyDescent="0.25">
      <c r="B551" s="178" t="s">
        <v>456</v>
      </c>
      <c r="C551" s="318"/>
      <c r="D551" s="193" t="s">
        <v>50</v>
      </c>
      <c r="E551" s="100"/>
      <c r="F551" s="481">
        <v>1</v>
      </c>
      <c r="G551" s="94"/>
      <c r="H551" s="193" t="s">
        <v>51</v>
      </c>
      <c r="I551" s="100"/>
      <c r="J551" s="321">
        <v>2</v>
      </c>
      <c r="K551" s="164"/>
      <c r="L551" s="193"/>
      <c r="M551" s="317"/>
      <c r="N551" s="323"/>
      <c r="O551" s="323"/>
      <c r="P551" s="481">
        <f>+'Staff Detail'!B$30</f>
        <v>222.03625643835619</v>
      </c>
      <c r="Q551" s="322"/>
      <c r="R551" s="327">
        <f t="shared" si="468"/>
        <v>63.43893041095891</v>
      </c>
      <c r="S551" s="322"/>
      <c r="T551" s="319">
        <f t="shared" si="469"/>
        <v>444.07251287671238</v>
      </c>
      <c r="U551" s="317"/>
      <c r="V551" s="319">
        <f t="shared" si="470"/>
        <v>126.87786082191782</v>
      </c>
      <c r="W551" s="320"/>
      <c r="X551" s="337">
        <f t="shared" si="471"/>
        <v>4.7222508493129889E-5</v>
      </c>
      <c r="Y551" s="167"/>
      <c r="Z551" s="326">
        <f>V551/$V$601</f>
        <v>6.8421062124184975E-5</v>
      </c>
      <c r="AA551" s="635">
        <v>1</v>
      </c>
      <c r="AB551" s="638">
        <f>+W551+V551*AA551</f>
        <v>126.87786082191782</v>
      </c>
      <c r="AC551" s="636">
        <f t="shared" si="472"/>
        <v>0</v>
      </c>
      <c r="AD551" s="292">
        <f>+V551-AB551</f>
        <v>0</v>
      </c>
      <c r="AE551" s="607" t="s">
        <v>99</v>
      </c>
      <c r="AF551" s="211"/>
    </row>
    <row r="552" spans="1:32" s="112" customFormat="1" ht="15" customHeight="1" x14ac:dyDescent="0.25">
      <c r="B552" s="178" t="s">
        <v>418</v>
      </c>
      <c r="C552" s="318"/>
      <c r="D552" s="193" t="s">
        <v>50</v>
      </c>
      <c r="E552" s="100"/>
      <c r="F552" s="481">
        <v>1</v>
      </c>
      <c r="G552" s="94"/>
      <c r="H552" s="193" t="s">
        <v>51</v>
      </c>
      <c r="I552" s="100"/>
      <c r="J552" s="321">
        <v>1</v>
      </c>
      <c r="K552" s="164"/>
      <c r="L552" s="193"/>
      <c r="M552" s="317"/>
      <c r="N552" s="323"/>
      <c r="O552" s="323"/>
      <c r="P552" s="481">
        <f>+'Staff Detail'!B$38</f>
        <v>383.56164383561645</v>
      </c>
      <c r="Q552" s="322"/>
      <c r="R552" s="327">
        <f t="shared" si="468"/>
        <v>109.58904109589041</v>
      </c>
      <c r="S552" s="322"/>
      <c r="T552" s="319">
        <f t="shared" si="469"/>
        <v>383.56164383561645</v>
      </c>
      <c r="U552" s="317"/>
      <c r="V552" s="319">
        <f t="shared" si="470"/>
        <v>109.58904109589041</v>
      </c>
      <c r="W552" s="320"/>
      <c r="X552" s="337">
        <f t="shared" si="471"/>
        <v>4.0787804825683706E-5</v>
      </c>
      <c r="Y552" s="167"/>
      <c r="Z552" s="326">
        <f>V552/$V$601</f>
        <v>5.9097769621731233E-5</v>
      </c>
      <c r="AA552" s="635">
        <v>1</v>
      </c>
      <c r="AB552" s="638">
        <f>+W552+V552*AA552</f>
        <v>109.58904109589041</v>
      </c>
      <c r="AC552" s="636">
        <f t="shared" si="472"/>
        <v>0</v>
      </c>
      <c r="AD552" s="292">
        <f>+V552-AB552</f>
        <v>0</v>
      </c>
      <c r="AE552" s="607" t="s">
        <v>99</v>
      </c>
      <c r="AF552" s="211"/>
    </row>
    <row r="553" spans="1:32" s="112" customFormat="1" ht="15" customHeight="1" x14ac:dyDescent="0.25">
      <c r="B553" s="799" t="s">
        <v>207</v>
      </c>
      <c r="C553" s="318"/>
      <c r="D553" s="193"/>
      <c r="E553" s="100"/>
      <c r="F553" s="481"/>
      <c r="G553" s="94"/>
      <c r="H553" s="193"/>
      <c r="I553" s="100"/>
      <c r="J553" s="321"/>
      <c r="K553" s="164"/>
      <c r="L553" s="193"/>
      <c r="M553" s="317"/>
      <c r="N553" s="323"/>
      <c r="O553" s="323"/>
      <c r="P553" s="481"/>
      <c r="Q553" s="322"/>
      <c r="R553" s="327"/>
      <c r="S553" s="322"/>
      <c r="T553" s="319"/>
      <c r="U553" s="317"/>
      <c r="V553" s="319"/>
      <c r="W553" s="320"/>
      <c r="X553" s="337"/>
      <c r="Y553" s="167"/>
      <c r="Z553" s="326"/>
      <c r="AA553" s="635"/>
      <c r="AB553" s="638"/>
      <c r="AC553" s="636"/>
      <c r="AD553" s="292"/>
      <c r="AE553" s="607"/>
      <c r="AF553" s="211"/>
    </row>
    <row r="554" spans="1:32" s="112" customFormat="1" ht="15" customHeight="1" x14ac:dyDescent="0.25">
      <c r="B554" s="178" t="s">
        <v>453</v>
      </c>
      <c r="C554" s="318"/>
      <c r="D554" s="193" t="s">
        <v>50</v>
      </c>
      <c r="E554" s="100"/>
      <c r="F554" s="481">
        <v>1</v>
      </c>
      <c r="G554" s="94"/>
      <c r="H554" s="193" t="s">
        <v>51</v>
      </c>
      <c r="I554" s="100"/>
      <c r="J554" s="321">
        <v>2</v>
      </c>
      <c r="K554" s="164"/>
      <c r="L554" s="193"/>
      <c r="M554" s="317"/>
      <c r="N554" s="323"/>
      <c r="O554" s="323"/>
      <c r="P554" s="481">
        <f>+P550</f>
        <v>128.1</v>
      </c>
      <c r="Q554" s="322"/>
      <c r="R554" s="327">
        <f t="shared" ref="R554:R557" si="473">P554/$V$6</f>
        <v>36.6</v>
      </c>
      <c r="S554" s="322"/>
      <c r="T554" s="319">
        <f t="shared" ref="T554:T557" si="474">IF(N554=0,IF(J554=0,F554*P554,F554*J554*P554),F554*J554*N554*P554)</f>
        <v>256.2</v>
      </c>
      <c r="U554" s="317"/>
      <c r="V554" s="319">
        <f t="shared" ref="V554:V557" si="475">T554/$V$6</f>
        <v>73.2</v>
      </c>
      <c r="W554" s="320"/>
      <c r="X554" s="337">
        <f t="shared" ref="X554:X557" si="476">V554/$V$3</f>
        <v>2.7244214233315433E-5</v>
      </c>
      <c r="Y554" s="167"/>
      <c r="Z554" s="326">
        <f>V554/$V$601</f>
        <v>3.947435521883538E-5</v>
      </c>
      <c r="AA554" s="635">
        <v>1</v>
      </c>
      <c r="AB554" s="638">
        <f>+W554+V554*AA554</f>
        <v>73.2</v>
      </c>
      <c r="AC554" s="636">
        <f t="shared" ref="AC554:AC557" si="477">+AD554/V554</f>
        <v>0</v>
      </c>
      <c r="AD554" s="292">
        <f>+V554-AB554</f>
        <v>0</v>
      </c>
      <c r="AE554" s="607" t="s">
        <v>99</v>
      </c>
      <c r="AF554" s="211"/>
    </row>
    <row r="555" spans="1:32" s="112" customFormat="1" ht="15" customHeight="1" x14ac:dyDescent="0.25">
      <c r="B555" s="178" t="s">
        <v>421</v>
      </c>
      <c r="C555" s="318"/>
      <c r="D555" s="193" t="s">
        <v>50</v>
      </c>
      <c r="E555" s="100"/>
      <c r="F555" s="481">
        <v>1</v>
      </c>
      <c r="G555" s="94"/>
      <c r="H555" s="193" t="s">
        <v>51</v>
      </c>
      <c r="I555" s="100"/>
      <c r="J555" s="321">
        <v>2</v>
      </c>
      <c r="K555" s="164"/>
      <c r="L555" s="193"/>
      <c r="M555" s="317"/>
      <c r="N555" s="323"/>
      <c r="O555" s="323"/>
      <c r="P555" s="321">
        <f>+P549</f>
        <v>226.57906849315069</v>
      </c>
      <c r="Q555" s="322"/>
      <c r="R555" s="327">
        <f t="shared" si="473"/>
        <v>64.736876712328765</v>
      </c>
      <c r="S555" s="322"/>
      <c r="T555" s="319">
        <f t="shared" si="474"/>
        <v>453.15813698630137</v>
      </c>
      <c r="U555" s="317"/>
      <c r="V555" s="319">
        <f t="shared" si="475"/>
        <v>129.47375342465753</v>
      </c>
      <c r="W555" s="320"/>
      <c r="X555" s="337">
        <f t="shared" si="476"/>
        <v>4.8188670435694361E-5</v>
      </c>
      <c r="Y555" s="167"/>
      <c r="Z555" s="326">
        <f>V555/$V$601</f>
        <v>6.982094172405512E-5</v>
      </c>
      <c r="AA555" s="635">
        <v>1</v>
      </c>
      <c r="AB555" s="638">
        <f>+W555+V555*AA555</f>
        <v>129.47375342465753</v>
      </c>
      <c r="AC555" s="636">
        <f t="shared" si="477"/>
        <v>0</v>
      </c>
      <c r="AD555" s="292">
        <f>+V555-AB555</f>
        <v>0</v>
      </c>
      <c r="AE555" s="607" t="s">
        <v>99</v>
      </c>
      <c r="AF555" s="211"/>
    </row>
    <row r="556" spans="1:32" s="112" customFormat="1" ht="15" customHeight="1" x14ac:dyDescent="0.25">
      <c r="B556" s="178" t="s">
        <v>456</v>
      </c>
      <c r="C556" s="318"/>
      <c r="D556" s="193" t="s">
        <v>50</v>
      </c>
      <c r="E556" s="100"/>
      <c r="F556" s="481">
        <v>1</v>
      </c>
      <c r="G556" s="94"/>
      <c r="H556" s="193" t="s">
        <v>51</v>
      </c>
      <c r="I556" s="100"/>
      <c r="J556" s="321">
        <v>2</v>
      </c>
      <c r="K556" s="164"/>
      <c r="L556" s="193"/>
      <c r="M556" s="317"/>
      <c r="N556" s="323"/>
      <c r="O556" s="323"/>
      <c r="P556" s="481">
        <f>+P551</f>
        <v>222.03625643835619</v>
      </c>
      <c r="Q556" s="322"/>
      <c r="R556" s="327">
        <f t="shared" si="473"/>
        <v>63.43893041095891</v>
      </c>
      <c r="S556" s="322"/>
      <c r="T556" s="319">
        <f t="shared" si="474"/>
        <v>444.07251287671238</v>
      </c>
      <c r="U556" s="317"/>
      <c r="V556" s="319">
        <f t="shared" si="475"/>
        <v>126.87786082191782</v>
      </c>
      <c r="W556" s="320"/>
      <c r="X556" s="337">
        <f t="shared" si="476"/>
        <v>4.7222508493129889E-5</v>
      </c>
      <c r="Y556" s="167"/>
      <c r="Z556" s="326">
        <f>V556/$V$601</f>
        <v>6.8421062124184975E-5</v>
      </c>
      <c r="AA556" s="635">
        <v>1</v>
      </c>
      <c r="AB556" s="638">
        <f>+W556+V556*AA556</f>
        <v>126.87786082191782</v>
      </c>
      <c r="AC556" s="636">
        <f t="shared" si="477"/>
        <v>0</v>
      </c>
      <c r="AD556" s="292">
        <f>+V556-AB556</f>
        <v>0</v>
      </c>
      <c r="AE556" s="607" t="s">
        <v>99</v>
      </c>
      <c r="AF556" s="211"/>
    </row>
    <row r="557" spans="1:32" s="112" customFormat="1" ht="15" customHeight="1" x14ac:dyDescent="0.25">
      <c r="B557" s="178" t="s">
        <v>418</v>
      </c>
      <c r="C557" s="318"/>
      <c r="D557" s="193" t="s">
        <v>50</v>
      </c>
      <c r="E557" s="100"/>
      <c r="F557" s="481">
        <v>1</v>
      </c>
      <c r="G557" s="94"/>
      <c r="H557" s="193" t="s">
        <v>51</v>
      </c>
      <c r="I557" s="100"/>
      <c r="J557" s="321">
        <v>1</v>
      </c>
      <c r="K557" s="164"/>
      <c r="L557" s="193"/>
      <c r="M557" s="317"/>
      <c r="N557" s="323"/>
      <c r="O557" s="323"/>
      <c r="P557" s="481">
        <f>+P552</f>
        <v>383.56164383561645</v>
      </c>
      <c r="Q557" s="322"/>
      <c r="R557" s="327">
        <f t="shared" si="473"/>
        <v>109.58904109589041</v>
      </c>
      <c r="S557" s="322"/>
      <c r="T557" s="319">
        <f t="shared" si="474"/>
        <v>383.56164383561645</v>
      </c>
      <c r="U557" s="317"/>
      <c r="V557" s="319">
        <f t="shared" si="475"/>
        <v>109.58904109589041</v>
      </c>
      <c r="W557" s="320"/>
      <c r="X557" s="337">
        <f t="shared" si="476"/>
        <v>4.0787804825683706E-5</v>
      </c>
      <c r="Y557" s="167"/>
      <c r="Z557" s="326">
        <f>V557/$V$601</f>
        <v>5.9097769621731233E-5</v>
      </c>
      <c r="AA557" s="635">
        <v>1</v>
      </c>
      <c r="AB557" s="638">
        <f>+W557+V557*AA557</f>
        <v>109.58904109589041</v>
      </c>
      <c r="AC557" s="636">
        <f t="shared" si="477"/>
        <v>0</v>
      </c>
      <c r="AD557" s="292">
        <f>+V557-AB557</f>
        <v>0</v>
      </c>
      <c r="AE557" s="607" t="s">
        <v>99</v>
      </c>
      <c r="AF557" s="211"/>
    </row>
    <row r="558" spans="1:32" s="112" customFormat="1" ht="15" customHeight="1" x14ac:dyDescent="0.25">
      <c r="B558" s="799" t="s">
        <v>208</v>
      </c>
      <c r="C558" s="318"/>
      <c r="D558" s="193"/>
      <c r="E558" s="100"/>
      <c r="F558" s="481"/>
      <c r="G558" s="94"/>
      <c r="H558" s="193"/>
      <c r="I558" s="100"/>
      <c r="J558" s="321"/>
      <c r="K558" s="164"/>
      <c r="L558" s="193"/>
      <c r="M558" s="317"/>
      <c r="N558" s="323"/>
      <c r="O558" s="323"/>
      <c r="P558" s="481"/>
      <c r="Q558" s="322"/>
      <c r="R558" s="327"/>
      <c r="S558" s="322"/>
      <c r="T558" s="319"/>
      <c r="U558" s="317"/>
      <c r="V558" s="319"/>
      <c r="W558" s="320"/>
      <c r="X558" s="337"/>
      <c r="Y558" s="167"/>
      <c r="Z558" s="326"/>
      <c r="AA558" s="635"/>
      <c r="AB558" s="638"/>
      <c r="AC558" s="636"/>
      <c r="AD558" s="292"/>
      <c r="AE558" s="607"/>
      <c r="AF558" s="211"/>
    </row>
    <row r="559" spans="1:32" s="112" customFormat="1" ht="15" customHeight="1" x14ac:dyDescent="0.25">
      <c r="B559" s="178" t="s">
        <v>453</v>
      </c>
      <c r="C559" s="318"/>
      <c r="D559" s="193" t="s">
        <v>50</v>
      </c>
      <c r="E559" s="100"/>
      <c r="F559" s="481">
        <v>1</v>
      </c>
      <c r="G559" s="94"/>
      <c r="H559" s="193" t="s">
        <v>51</v>
      </c>
      <c r="I559" s="100"/>
      <c r="J559" s="321">
        <v>2</v>
      </c>
      <c r="K559" s="164"/>
      <c r="L559" s="193"/>
      <c r="M559" s="317"/>
      <c r="N559" s="323"/>
      <c r="O559" s="323"/>
      <c r="P559" s="481">
        <f>+P554</f>
        <v>128.1</v>
      </c>
      <c r="Q559" s="322"/>
      <c r="R559" s="327">
        <f t="shared" ref="R559:R565" si="478">P559/$V$6</f>
        <v>36.6</v>
      </c>
      <c r="S559" s="322"/>
      <c r="T559" s="319">
        <f t="shared" ref="T559:T565" si="479">IF(N559=0,IF(J559=0,F559*P559,F559*J559*P559),F559*J559*N559*P559)</f>
        <v>256.2</v>
      </c>
      <c r="U559" s="317"/>
      <c r="V559" s="319">
        <f t="shared" ref="V559:V565" si="480">T559/$V$6</f>
        <v>73.2</v>
      </c>
      <c r="W559" s="320"/>
      <c r="X559" s="337">
        <f t="shared" ref="X559:X565" si="481">V559/$V$3</f>
        <v>2.7244214233315433E-5</v>
      </c>
      <c r="Y559" s="167"/>
      <c r="Z559" s="326">
        <f t="shared" ref="Z559:Z566" si="482">V559/$V$601</f>
        <v>3.947435521883538E-5</v>
      </c>
      <c r="AA559" s="635">
        <v>1</v>
      </c>
      <c r="AB559" s="638">
        <f t="shared" ref="AB559:AB565" si="483">+W559+V559*AA559</f>
        <v>73.2</v>
      </c>
      <c r="AC559" s="636">
        <f t="shared" ref="AC559:AC565" si="484">+AD559/V559</f>
        <v>0</v>
      </c>
      <c r="AD559" s="292">
        <f t="shared" ref="AD559:AD565" si="485">+V559-AB559</f>
        <v>0</v>
      </c>
      <c r="AE559" s="607" t="s">
        <v>99</v>
      </c>
      <c r="AF559" s="211"/>
    </row>
    <row r="560" spans="1:32" s="112" customFormat="1" ht="15" customHeight="1" x14ac:dyDescent="0.25">
      <c r="B560" s="178" t="s">
        <v>421</v>
      </c>
      <c r="C560" s="318"/>
      <c r="D560" s="193" t="s">
        <v>50</v>
      </c>
      <c r="E560" s="100"/>
      <c r="F560" s="481">
        <v>1</v>
      </c>
      <c r="G560" s="94"/>
      <c r="H560" s="193" t="s">
        <v>51</v>
      </c>
      <c r="I560" s="100"/>
      <c r="J560" s="321">
        <v>2</v>
      </c>
      <c r="K560" s="164"/>
      <c r="L560" s="193"/>
      <c r="M560" s="317"/>
      <c r="N560" s="323"/>
      <c r="O560" s="323"/>
      <c r="P560" s="481">
        <f>+P555</f>
        <v>226.57906849315069</v>
      </c>
      <c r="Q560" s="322"/>
      <c r="R560" s="327">
        <f t="shared" si="478"/>
        <v>64.736876712328765</v>
      </c>
      <c r="S560" s="322"/>
      <c r="T560" s="319">
        <f t="shared" si="479"/>
        <v>453.15813698630137</v>
      </c>
      <c r="U560" s="317"/>
      <c r="V560" s="319">
        <f t="shared" si="480"/>
        <v>129.47375342465753</v>
      </c>
      <c r="W560" s="320"/>
      <c r="X560" s="337">
        <f t="shared" si="481"/>
        <v>4.8188670435694361E-5</v>
      </c>
      <c r="Y560" s="167"/>
      <c r="Z560" s="326">
        <f t="shared" si="482"/>
        <v>6.982094172405512E-5</v>
      </c>
      <c r="AA560" s="635">
        <v>1</v>
      </c>
      <c r="AB560" s="638">
        <f t="shared" si="483"/>
        <v>129.47375342465753</v>
      </c>
      <c r="AC560" s="636">
        <f t="shared" si="484"/>
        <v>0</v>
      </c>
      <c r="AD560" s="292">
        <f t="shared" si="485"/>
        <v>0</v>
      </c>
      <c r="AE560" s="607" t="s">
        <v>99</v>
      </c>
      <c r="AF560" s="211"/>
    </row>
    <row r="561" spans="1:33" s="112" customFormat="1" ht="15" customHeight="1" x14ac:dyDescent="0.25">
      <c r="B561" s="178" t="s">
        <v>456</v>
      </c>
      <c r="C561" s="318"/>
      <c r="D561" s="193" t="s">
        <v>50</v>
      </c>
      <c r="E561" s="100"/>
      <c r="F561" s="481">
        <v>1</v>
      </c>
      <c r="G561" s="94"/>
      <c r="H561" s="193" t="s">
        <v>51</v>
      </c>
      <c r="I561" s="100"/>
      <c r="J561" s="321">
        <v>2</v>
      </c>
      <c r="K561" s="164"/>
      <c r="L561" s="193"/>
      <c r="M561" s="317"/>
      <c r="N561" s="323"/>
      <c r="O561" s="323"/>
      <c r="P561" s="481">
        <f>+P556</f>
        <v>222.03625643835619</v>
      </c>
      <c r="Q561" s="322"/>
      <c r="R561" s="327">
        <f t="shared" si="478"/>
        <v>63.43893041095891</v>
      </c>
      <c r="S561" s="322"/>
      <c r="T561" s="319">
        <f t="shared" si="479"/>
        <v>444.07251287671238</v>
      </c>
      <c r="U561" s="317"/>
      <c r="V561" s="319">
        <f t="shared" si="480"/>
        <v>126.87786082191782</v>
      </c>
      <c r="W561" s="320"/>
      <c r="X561" s="337">
        <f t="shared" si="481"/>
        <v>4.7222508493129889E-5</v>
      </c>
      <c r="Y561" s="167"/>
      <c r="Z561" s="326">
        <f t="shared" si="482"/>
        <v>6.8421062124184975E-5</v>
      </c>
      <c r="AA561" s="635">
        <v>1</v>
      </c>
      <c r="AB561" s="638">
        <f t="shared" si="483"/>
        <v>126.87786082191782</v>
      </c>
      <c r="AC561" s="636">
        <f t="shared" si="484"/>
        <v>0</v>
      </c>
      <c r="AD561" s="292">
        <f t="shared" si="485"/>
        <v>0</v>
      </c>
      <c r="AE561" s="607" t="s">
        <v>99</v>
      </c>
      <c r="AF561" s="211"/>
    </row>
    <row r="562" spans="1:33" s="112" customFormat="1" ht="15" customHeight="1" x14ac:dyDescent="0.25">
      <c r="B562" s="178" t="s">
        <v>418</v>
      </c>
      <c r="C562" s="318"/>
      <c r="D562" s="193" t="s">
        <v>50</v>
      </c>
      <c r="E562" s="100"/>
      <c r="F562" s="481">
        <v>1</v>
      </c>
      <c r="G562" s="94"/>
      <c r="H562" s="193" t="s">
        <v>51</v>
      </c>
      <c r="I562" s="100"/>
      <c r="J562" s="321">
        <v>1</v>
      </c>
      <c r="K562" s="164"/>
      <c r="L562" s="193"/>
      <c r="M562" s="317"/>
      <c r="N562" s="323"/>
      <c r="O562" s="323"/>
      <c r="P562" s="481">
        <f>+P557</f>
        <v>383.56164383561645</v>
      </c>
      <c r="Q562" s="322"/>
      <c r="R562" s="327">
        <f t="shared" si="478"/>
        <v>109.58904109589041</v>
      </c>
      <c r="S562" s="322"/>
      <c r="T562" s="319">
        <f t="shared" si="479"/>
        <v>383.56164383561645</v>
      </c>
      <c r="U562" s="317"/>
      <c r="V562" s="319">
        <f t="shared" si="480"/>
        <v>109.58904109589041</v>
      </c>
      <c r="W562" s="320"/>
      <c r="X562" s="337">
        <f t="shared" si="481"/>
        <v>4.0787804825683706E-5</v>
      </c>
      <c r="Y562" s="167"/>
      <c r="Z562" s="326">
        <f t="shared" si="482"/>
        <v>5.9097769621731233E-5</v>
      </c>
      <c r="AA562" s="635">
        <v>1</v>
      </c>
      <c r="AB562" s="638">
        <f t="shared" si="483"/>
        <v>109.58904109589041</v>
      </c>
      <c r="AC562" s="636">
        <f t="shared" si="484"/>
        <v>0</v>
      </c>
      <c r="AD562" s="292">
        <f t="shared" si="485"/>
        <v>0</v>
      </c>
      <c r="AE562" s="607" t="s">
        <v>99</v>
      </c>
      <c r="AF562" s="211"/>
    </row>
    <row r="563" spans="1:33" s="112" customFormat="1" ht="15" customHeight="1" x14ac:dyDescent="0.25">
      <c r="B563" s="178" t="s">
        <v>457</v>
      </c>
      <c r="C563" s="318"/>
      <c r="D563" s="193" t="s">
        <v>50</v>
      </c>
      <c r="E563" s="100"/>
      <c r="F563" s="481">
        <v>1</v>
      </c>
      <c r="G563" s="94"/>
      <c r="H563" s="193" t="s">
        <v>51</v>
      </c>
      <c r="I563" s="100"/>
      <c r="J563" s="321">
        <v>2</v>
      </c>
      <c r="K563" s="164"/>
      <c r="L563" s="193"/>
      <c r="M563" s="100"/>
      <c r="N563" s="323"/>
      <c r="O563" s="165"/>
      <c r="P563" s="481">
        <f>+'Staff Detail'!B$43</f>
        <v>1582.1917808219177</v>
      </c>
      <c r="Q563" s="322"/>
      <c r="R563" s="327">
        <f t="shared" si="478"/>
        <v>452.05479452054794</v>
      </c>
      <c r="S563" s="322"/>
      <c r="T563" s="319">
        <f t="shared" si="479"/>
        <v>3164.3835616438355</v>
      </c>
      <c r="U563" s="317"/>
      <c r="V563" s="319">
        <f t="shared" si="480"/>
        <v>904.10958904109589</v>
      </c>
      <c r="W563" s="320"/>
      <c r="X563" s="337">
        <f t="shared" si="481"/>
        <v>3.3649938981189059E-4</v>
      </c>
      <c r="Y563" s="167"/>
      <c r="Z563" s="326">
        <f t="shared" si="482"/>
        <v>4.8755659937928269E-4</v>
      </c>
      <c r="AA563" s="635">
        <v>1</v>
      </c>
      <c r="AB563" s="638">
        <f t="shared" si="483"/>
        <v>904.10958904109589</v>
      </c>
      <c r="AC563" s="636">
        <f t="shared" si="484"/>
        <v>0</v>
      </c>
      <c r="AD563" s="292">
        <f t="shared" si="485"/>
        <v>0</v>
      </c>
      <c r="AE563" s="607" t="s">
        <v>99</v>
      </c>
      <c r="AF563" s="211"/>
    </row>
    <row r="564" spans="1:33" s="112" customFormat="1" ht="15" customHeight="1" x14ac:dyDescent="0.25">
      <c r="B564" s="178" t="s">
        <v>458</v>
      </c>
      <c r="C564" s="318"/>
      <c r="D564" s="193" t="s">
        <v>50</v>
      </c>
      <c r="E564" s="100"/>
      <c r="F564" s="481">
        <v>1</v>
      </c>
      <c r="G564" s="94"/>
      <c r="H564" s="193" t="s">
        <v>51</v>
      </c>
      <c r="I564" s="100"/>
      <c r="J564" s="321">
        <v>2</v>
      </c>
      <c r="K564" s="164"/>
      <c r="L564" s="193"/>
      <c r="M564" s="100"/>
      <c r="N564" s="323"/>
      <c r="O564" s="165"/>
      <c r="P564" s="481">
        <f>+'Staff Detail'!B$45</f>
        <v>1582.1917808219177</v>
      </c>
      <c r="Q564" s="322"/>
      <c r="R564" s="327">
        <f t="shared" si="478"/>
        <v>452.05479452054794</v>
      </c>
      <c r="S564" s="322"/>
      <c r="T564" s="319">
        <f t="shared" si="479"/>
        <v>3164.3835616438355</v>
      </c>
      <c r="U564" s="317"/>
      <c r="V564" s="319">
        <f t="shared" si="480"/>
        <v>904.10958904109589</v>
      </c>
      <c r="W564" s="320"/>
      <c r="X564" s="337">
        <f t="shared" si="481"/>
        <v>3.3649938981189059E-4</v>
      </c>
      <c r="Y564" s="167"/>
      <c r="Z564" s="326">
        <f t="shared" si="482"/>
        <v>4.8755659937928269E-4</v>
      </c>
      <c r="AA564" s="635">
        <v>1</v>
      </c>
      <c r="AB564" s="638">
        <f t="shared" si="483"/>
        <v>904.10958904109589</v>
      </c>
      <c r="AC564" s="636">
        <f t="shared" si="484"/>
        <v>0</v>
      </c>
      <c r="AD564" s="292">
        <f t="shared" si="485"/>
        <v>0</v>
      </c>
      <c r="AE564" s="607" t="s">
        <v>99</v>
      </c>
      <c r="AF564" s="211"/>
    </row>
    <row r="565" spans="1:33" s="112" customFormat="1" ht="15" customHeight="1" x14ac:dyDescent="0.25">
      <c r="B565" s="178" t="s">
        <v>17</v>
      </c>
      <c r="C565" s="318"/>
      <c r="D565" s="193" t="s">
        <v>98</v>
      </c>
      <c r="E565" s="317"/>
      <c r="F565" s="606">
        <v>0</v>
      </c>
      <c r="G565" s="317"/>
      <c r="H565" s="193" t="s">
        <v>54</v>
      </c>
      <c r="I565" s="100"/>
      <c r="J565" s="321">
        <v>0</v>
      </c>
      <c r="K565" s="164"/>
      <c r="L565" s="193" t="s">
        <v>51</v>
      </c>
      <c r="M565" s="163"/>
      <c r="N565" s="321">
        <v>1</v>
      </c>
      <c r="O565" s="165"/>
      <c r="P565" s="321">
        <v>0</v>
      </c>
      <c r="Q565" s="322"/>
      <c r="R565" s="327">
        <f t="shared" si="478"/>
        <v>0</v>
      </c>
      <c r="S565" s="322"/>
      <c r="T565" s="319">
        <f t="shared" si="479"/>
        <v>0</v>
      </c>
      <c r="U565" s="317"/>
      <c r="V565" s="319">
        <f t="shared" si="480"/>
        <v>0</v>
      </c>
      <c r="W565" s="320"/>
      <c r="X565" s="337">
        <f t="shared" si="481"/>
        <v>0</v>
      </c>
      <c r="Y565" s="167"/>
      <c r="Z565" s="326">
        <f t="shared" si="482"/>
        <v>0</v>
      </c>
      <c r="AA565" s="635">
        <v>1</v>
      </c>
      <c r="AB565" s="638">
        <f t="shared" si="483"/>
        <v>0</v>
      </c>
      <c r="AC565" s="636" t="e">
        <f t="shared" si="484"/>
        <v>#DIV/0!</v>
      </c>
      <c r="AD565" s="292">
        <f t="shared" si="485"/>
        <v>0</v>
      </c>
      <c r="AE565" s="611" t="s">
        <v>55</v>
      </c>
      <c r="AF565" s="211"/>
    </row>
    <row r="566" spans="1:33" s="112" customFormat="1" ht="15" customHeight="1" x14ac:dyDescent="0.25">
      <c r="A566" s="112" t="s">
        <v>552</v>
      </c>
      <c r="B566" s="495" t="s">
        <v>96</v>
      </c>
      <c r="C566" s="262"/>
      <c r="D566" s="496"/>
      <c r="E566" s="101"/>
      <c r="F566" s="497"/>
      <c r="G566" s="101"/>
      <c r="H566" s="496"/>
      <c r="I566" s="101"/>
      <c r="J566" s="498"/>
      <c r="K566" s="497"/>
      <c r="L566" s="499"/>
      <c r="M566" s="499"/>
      <c r="N566" s="500"/>
      <c r="O566" s="499"/>
      <c r="P566" s="497"/>
      <c r="Q566" s="497"/>
      <c r="R566" s="497"/>
      <c r="S566" s="497"/>
      <c r="T566" s="501">
        <f>SUM(T562:T565)</f>
        <v>6712.3287671232874</v>
      </c>
      <c r="U566" s="262"/>
      <c r="V566" s="501">
        <f>SUM(V562:V565)</f>
        <v>1917.8082191780823</v>
      </c>
      <c r="W566" s="134"/>
      <c r="X566" s="502">
        <f>SUM(X549:X565)</f>
        <v>1.1633283735872513E-3</v>
      </c>
      <c r="Y566" s="469"/>
      <c r="Z566" s="503">
        <f t="shared" si="482"/>
        <v>1.0342109683802966E-3</v>
      </c>
      <c r="AA566" s="668"/>
      <c r="AB566" s="501">
        <f>SUM(AB562:AB565)</f>
        <v>1917.8082191780823</v>
      </c>
      <c r="AC566" s="637"/>
      <c r="AD566" s="501">
        <f>SUM(AD562:AD565)</f>
        <v>0</v>
      </c>
      <c r="AE566" s="718"/>
      <c r="AF566" s="211"/>
    </row>
    <row r="567" spans="1:33" x14ac:dyDescent="0.25">
      <c r="A567" s="608"/>
      <c r="B567" s="608"/>
      <c r="C567" s="80"/>
      <c r="D567" s="155"/>
      <c r="E567" s="80"/>
      <c r="F567" s="608"/>
      <c r="G567" s="80"/>
      <c r="H567" s="155"/>
      <c r="I567" s="80"/>
      <c r="J567" s="145"/>
      <c r="K567" s="145"/>
      <c r="L567" s="147"/>
      <c r="M567" s="147"/>
      <c r="N567" s="147"/>
      <c r="O567" s="147"/>
      <c r="P567" s="145"/>
      <c r="Q567" s="191"/>
      <c r="R567" s="191"/>
      <c r="S567" s="145"/>
      <c r="T567" s="106"/>
      <c r="U567" s="80"/>
      <c r="V567" s="106"/>
      <c r="W567" s="109"/>
      <c r="X567" s="343"/>
      <c r="Y567" s="119"/>
      <c r="Z567" s="168"/>
      <c r="AA567" s="80"/>
      <c r="AB567" s="647"/>
      <c r="AC567" s="317"/>
      <c r="AD567" s="317"/>
      <c r="AE567" s="607"/>
      <c r="AF567" s="78"/>
      <c r="AG567" s="78"/>
    </row>
    <row r="568" spans="1:33" ht="15" customHeight="1" thickBot="1" x14ac:dyDescent="0.3">
      <c r="B568" s="143" t="s">
        <v>67</v>
      </c>
      <c r="C568" s="89"/>
      <c r="D568" s="156"/>
      <c r="E568" s="156"/>
      <c r="F568" s="156"/>
      <c r="G568" s="156"/>
      <c r="H568" s="156"/>
      <c r="I568" s="156"/>
      <c r="J568" s="156"/>
      <c r="K568" s="156"/>
      <c r="L568" s="156"/>
      <c r="M568" s="156"/>
      <c r="N568" s="156"/>
      <c r="O568" s="156"/>
      <c r="P568" s="156"/>
      <c r="Q568" s="156"/>
      <c r="R568" s="156"/>
      <c r="S568" s="156"/>
      <c r="T568" s="140">
        <f>T441+T545+T536+T530+T518+T509+T495+T479+T470+T462+T452+T566</f>
        <v>1040399.4031508667</v>
      </c>
      <c r="U568" s="230"/>
      <c r="V568" s="140">
        <f>V441+V545+V536+V530+V518+V509+V495+V479+V470+V462+V452+V566</f>
        <v>297257.115185962</v>
      </c>
      <c r="W568" s="141"/>
      <c r="X568" s="964">
        <f>X441+X545+X536+X530+X518+X509+X495+X479+X470+X462+X452+X566</f>
        <v>0.10958544061408662</v>
      </c>
      <c r="Y568" s="160"/>
      <c r="Z568" s="244">
        <f>V568/$V$601</f>
        <v>0.16030099666908371</v>
      </c>
      <c r="AA568" s="698">
        <f>+AB568/V568</f>
        <v>0.75449193790403646</v>
      </c>
      <c r="AB568" s="140">
        <f>AB441+AB545+AB536+AB530+AB518+AB509+AB495+AB479+AB470+AB462+AB452+AB566</f>
        <v>224278.09689241985</v>
      </c>
      <c r="AC568" s="699">
        <f>+AD568/V568</f>
        <v>0.24550806209596335</v>
      </c>
      <c r="AD568" s="140">
        <f>AD441+AD545+AD536+AD530+AD518+AD509+AD495+AD479+AD470+AD462+AD452+AD566</f>
        <v>72979.018293542089</v>
      </c>
      <c r="AE568" s="723"/>
      <c r="AF568" s="92"/>
      <c r="AG568" s="93"/>
    </row>
    <row r="569" spans="1:33" x14ac:dyDescent="0.25">
      <c r="B569" s="95"/>
      <c r="C569" s="94"/>
      <c r="D569" s="80"/>
      <c r="E569" s="80"/>
      <c r="F569" s="145"/>
      <c r="G569" s="80"/>
      <c r="H569" s="80"/>
      <c r="I569" s="80"/>
      <c r="J569" s="145"/>
      <c r="K569" s="145"/>
      <c r="L569" s="147"/>
      <c r="M569" s="147"/>
      <c r="N569" s="147"/>
      <c r="O569" s="147"/>
      <c r="P569" s="145"/>
      <c r="Q569" s="157"/>
      <c r="R569" s="157"/>
      <c r="S569" s="157"/>
      <c r="T569" s="102"/>
      <c r="U569" s="103"/>
      <c r="V569" s="102"/>
      <c r="W569" s="111"/>
      <c r="X569" s="352"/>
      <c r="Y569" s="120"/>
      <c r="Z569" s="120"/>
      <c r="AA569" s="94"/>
      <c r="AB569" s="648">
        <f>+AB568-'AMF Budget Summary  Non Nets'!H79</f>
        <v>0</v>
      </c>
      <c r="AC569" s="94"/>
      <c r="AD569" s="94"/>
      <c r="AE569" s="607"/>
      <c r="AF569" s="78"/>
      <c r="AG569" s="78"/>
    </row>
    <row r="570" spans="1:33" x14ac:dyDescent="0.25">
      <c r="B570" s="254" t="s">
        <v>91</v>
      </c>
      <c r="C570" s="255"/>
      <c r="D570" s="257"/>
      <c r="E570" s="257"/>
      <c r="F570" s="260"/>
      <c r="G570" s="257"/>
      <c r="H570" s="257"/>
      <c r="I570" s="257"/>
      <c r="J570" s="261"/>
      <c r="K570" s="261"/>
      <c r="L570" s="260"/>
      <c r="M570" s="260"/>
      <c r="N570" s="260"/>
      <c r="O570" s="260"/>
      <c r="P570" s="260"/>
      <c r="Q570" s="260"/>
      <c r="R570" s="260"/>
      <c r="S570" s="260"/>
      <c r="T570" s="257"/>
      <c r="U570" s="257"/>
      <c r="V570" s="257"/>
      <c r="W570" s="257"/>
      <c r="X570" s="351"/>
      <c r="Y570" s="259"/>
      <c r="Z570" s="259"/>
      <c r="AA570" s="257"/>
      <c r="AB570" s="651"/>
      <c r="AC570" s="257"/>
      <c r="AD570" s="257"/>
      <c r="AE570" s="721"/>
      <c r="AF570" s="78"/>
      <c r="AG570" s="78"/>
    </row>
    <row r="571" spans="1:33" x14ac:dyDescent="0.25">
      <c r="B571" s="127"/>
      <c r="C571" s="96"/>
      <c r="D571" s="80"/>
      <c r="E571" s="80"/>
      <c r="F571" s="147"/>
      <c r="G571" s="80"/>
      <c r="H571" s="80"/>
      <c r="I571" s="80"/>
      <c r="J571" s="145"/>
      <c r="K571" s="145"/>
      <c r="L571" s="147"/>
      <c r="M571" s="147"/>
      <c r="N571" s="147"/>
      <c r="O571" s="147"/>
      <c r="P571" s="147"/>
      <c r="Q571" s="192"/>
      <c r="R571" s="192"/>
      <c r="S571" s="147"/>
      <c r="T571" s="104"/>
      <c r="U571" s="80"/>
      <c r="V571" s="104"/>
      <c r="W571" s="104"/>
      <c r="X571" s="348"/>
      <c r="Y571" s="128"/>
      <c r="Z571" s="128"/>
      <c r="AA571" s="80"/>
      <c r="AB571" s="948"/>
      <c r="AC571" s="317"/>
      <c r="AD571" s="317"/>
      <c r="AE571" s="607"/>
    </row>
    <row r="572" spans="1:33" x14ac:dyDescent="0.25">
      <c r="B572" s="127" t="s">
        <v>68</v>
      </c>
      <c r="C572" s="96"/>
      <c r="D572" s="80"/>
      <c r="E572" s="80"/>
      <c r="F572" s="135">
        <v>6</v>
      </c>
      <c r="G572" s="80"/>
      <c r="H572" s="80"/>
      <c r="I572" s="80"/>
      <c r="J572" s="145"/>
      <c r="K572" s="145"/>
      <c r="L572" s="147"/>
      <c r="M572" s="147"/>
      <c r="N572" s="147"/>
      <c r="O572" s="147"/>
      <c r="P572" s="147"/>
      <c r="Q572" s="192"/>
      <c r="R572" s="192"/>
      <c r="S572" s="147"/>
      <c r="T572" s="104"/>
      <c r="U572" s="80"/>
      <c r="V572" s="104"/>
      <c r="W572" s="104"/>
      <c r="X572" s="348"/>
      <c r="Y572" s="128"/>
      <c r="Z572" s="128"/>
      <c r="AA572" s="80"/>
      <c r="AB572" s="647"/>
      <c r="AC572" s="317"/>
      <c r="AD572" s="317"/>
      <c r="AE572" s="607"/>
    </row>
    <row r="573" spans="1:33" x14ac:dyDescent="0.25">
      <c r="B573" s="127" t="s">
        <v>166</v>
      </c>
      <c r="C573" s="96"/>
      <c r="D573" s="80"/>
      <c r="E573" s="80"/>
      <c r="F573" s="135">
        <v>5</v>
      </c>
      <c r="G573" s="80"/>
      <c r="H573" s="80"/>
      <c r="I573" s="80"/>
      <c r="J573" s="145"/>
      <c r="K573" s="145"/>
      <c r="L573" s="147"/>
      <c r="M573" s="147"/>
      <c r="N573" s="147"/>
      <c r="O573" s="147"/>
      <c r="P573" s="147"/>
      <c r="Q573" s="192"/>
      <c r="R573" s="192"/>
      <c r="S573" s="147"/>
      <c r="T573" s="104"/>
      <c r="U573" s="80"/>
      <c r="V573" s="104"/>
      <c r="W573" s="104"/>
      <c r="X573" s="348"/>
      <c r="Y573" s="128"/>
      <c r="Z573" s="128"/>
      <c r="AA573" s="80"/>
      <c r="AB573" s="647"/>
      <c r="AC573" s="317"/>
      <c r="AD573" s="317"/>
      <c r="AE573" s="607"/>
    </row>
    <row r="574" spans="1:33" x14ac:dyDescent="0.25">
      <c r="B574" s="127" t="s">
        <v>69</v>
      </c>
      <c r="C574" s="96"/>
      <c r="D574" s="80"/>
      <c r="E574" s="80"/>
      <c r="F574" s="139">
        <v>0.02</v>
      </c>
      <c r="G574" s="80"/>
      <c r="H574" s="80"/>
      <c r="I574" s="80"/>
      <c r="J574" s="145"/>
      <c r="K574" s="145"/>
      <c r="L574" s="147"/>
      <c r="M574" s="147"/>
      <c r="N574" s="147"/>
      <c r="O574" s="147"/>
      <c r="P574" s="147"/>
      <c r="Q574" s="192"/>
      <c r="R574" s="192"/>
      <c r="S574" s="147"/>
      <c r="T574" s="104"/>
      <c r="U574" s="80"/>
      <c r="V574" s="104"/>
      <c r="W574" s="104"/>
      <c r="X574" s="348"/>
      <c r="Y574" s="128"/>
      <c r="Z574" s="128"/>
      <c r="AA574" s="80"/>
      <c r="AB574" s="647"/>
      <c r="AC574" s="317"/>
      <c r="AD574" s="317"/>
      <c r="AE574" s="607"/>
    </row>
    <row r="575" spans="1:33" x14ac:dyDescent="0.25">
      <c r="B575" s="112"/>
      <c r="C575" s="96"/>
      <c r="D575" s="80"/>
      <c r="E575" s="80"/>
      <c r="F575" s="80"/>
      <c r="G575" s="80"/>
      <c r="H575" s="80"/>
      <c r="I575" s="80"/>
      <c r="J575" s="91"/>
      <c r="K575" s="91"/>
      <c r="L575" s="80"/>
      <c r="M575" s="80"/>
      <c r="N575" s="80"/>
      <c r="O575" s="80"/>
      <c r="P575" s="80"/>
      <c r="Q575" s="180"/>
      <c r="R575" s="180"/>
      <c r="S575" s="80"/>
      <c r="T575" s="104"/>
      <c r="U575" s="80"/>
      <c r="V575" s="104"/>
      <c r="W575" s="104"/>
      <c r="X575" s="348"/>
      <c r="Y575" s="128"/>
      <c r="Z575" s="128"/>
      <c r="AA575" s="80"/>
      <c r="AB575" s="647"/>
      <c r="AC575" s="317"/>
      <c r="AD575" s="317"/>
      <c r="AE575" s="607"/>
    </row>
    <row r="576" spans="1:33" x14ac:dyDescent="0.25">
      <c r="B576" s="127" t="s">
        <v>75</v>
      </c>
      <c r="C576" s="96"/>
      <c r="D576" s="80"/>
      <c r="E576" s="80"/>
      <c r="F576" s="80"/>
      <c r="G576" s="80"/>
      <c r="H576" s="80"/>
      <c r="I576" s="80"/>
      <c r="J576" s="91"/>
      <c r="K576" s="91"/>
      <c r="L576" s="80"/>
      <c r="M576" s="80"/>
      <c r="N576" s="80"/>
      <c r="O576" s="80"/>
      <c r="P576" s="80"/>
      <c r="Q576" s="180"/>
      <c r="R576" s="180"/>
      <c r="S576" s="80"/>
      <c r="T576" s="291">
        <f>T568</f>
        <v>1040399.4031508667</v>
      </c>
      <c r="U576" s="292"/>
      <c r="V576" s="291">
        <f>V568</f>
        <v>297257.115185962</v>
      </c>
      <c r="W576" s="134"/>
      <c r="X576" s="353">
        <f t="shared" ref="X576:X587" si="486">V576/$V$3</f>
        <v>0.11063574492491353</v>
      </c>
      <c r="Y576" s="115"/>
      <c r="Z576" s="290">
        <f>V576/$V$601</f>
        <v>0.16030099666908371</v>
      </c>
      <c r="AA576" s="635">
        <f>+AB576/V576</f>
        <v>0.75449193790403646</v>
      </c>
      <c r="AB576" s="291">
        <f>AB568</f>
        <v>224278.09689241985</v>
      </c>
      <c r="AC576" s="636">
        <f>+AD576/V576</f>
        <v>0.24550806209596335</v>
      </c>
      <c r="AD576" s="291">
        <f>AD568</f>
        <v>72979.018293542089</v>
      </c>
      <c r="AE576" s="607"/>
    </row>
    <row r="577" spans="2:33" x14ac:dyDescent="0.25">
      <c r="B577" s="127" t="s">
        <v>76</v>
      </c>
      <c r="C577" s="96"/>
      <c r="D577" s="80"/>
      <c r="E577" s="80"/>
      <c r="F577" s="80"/>
      <c r="G577" s="80"/>
      <c r="H577" s="80"/>
      <c r="I577" s="80"/>
      <c r="J577" s="91"/>
      <c r="K577" s="91"/>
      <c r="L577" s="80"/>
      <c r="M577" s="80"/>
      <c r="N577" s="80"/>
      <c r="O577" s="80"/>
      <c r="P577" s="80"/>
      <c r="Q577" s="180"/>
      <c r="R577" s="180"/>
      <c r="S577" s="80"/>
      <c r="T577" s="293">
        <f>(T576-T509-T518)*(1+$F$574)</f>
        <v>1052232.7539338842</v>
      </c>
      <c r="U577" s="292"/>
      <c r="V577" s="293">
        <f>(V576-V509-V518)*(1+$F$574)</f>
        <v>300638.07540968125</v>
      </c>
      <c r="W577" s="294"/>
      <c r="X577" s="354">
        <f t="shared" si="486"/>
        <v>0.11189410017968573</v>
      </c>
      <c r="Y577" s="115"/>
      <c r="Z577" s="290">
        <f>V577/$V$601</f>
        <v>0.16212423744574828</v>
      </c>
      <c r="AA577" s="635">
        <f>+AB577/V577</f>
        <v>0.75294323586002909</v>
      </c>
      <c r="AB577" s="293">
        <f>(AB576-AB509-AB518)*(1+$F$574)</f>
        <v>226363.40532169683</v>
      </c>
      <c r="AC577" s="636">
        <f>+AD577/V577</f>
        <v>0.24705676413997074</v>
      </c>
      <c r="AD577" s="293">
        <f>(AD576-AD509-AD518)*(1+$F$574)</f>
        <v>74274.670087984356</v>
      </c>
      <c r="AE577" s="607"/>
    </row>
    <row r="578" spans="2:33" ht="15.75" thickBot="1" x14ac:dyDescent="0.3">
      <c r="B578" s="142" t="s">
        <v>70</v>
      </c>
      <c r="C578" s="96"/>
      <c r="D578" s="80"/>
      <c r="E578" s="80"/>
      <c r="F578" s="80"/>
      <c r="G578" s="80"/>
      <c r="H578" s="80"/>
      <c r="I578" s="80"/>
      <c r="J578" s="91"/>
      <c r="K578" s="91"/>
      <c r="L578" s="80"/>
      <c r="M578" s="80"/>
      <c r="N578" s="80"/>
      <c r="O578" s="80"/>
      <c r="P578" s="80"/>
      <c r="Q578" s="180"/>
      <c r="R578" s="180"/>
      <c r="S578" s="80"/>
      <c r="T578" s="296">
        <f>SUM(T576:T577)</f>
        <v>2092632.1570847509</v>
      </c>
      <c r="U578" s="292"/>
      <c r="V578" s="296">
        <f>SUM(V576:V577)</f>
        <v>597895.19059564325</v>
      </c>
      <c r="W578" s="294"/>
      <c r="X578" s="338">
        <f t="shared" si="486"/>
        <v>0.22252984510459928</v>
      </c>
      <c r="Y578" s="159"/>
      <c r="Z578" s="285">
        <f>V578/$V$601</f>
        <v>0.32242523411483198</v>
      </c>
      <c r="AA578" s="637"/>
      <c r="AB578" s="296">
        <f>SUM(AB576:AB577)</f>
        <v>450641.50221411668</v>
      </c>
      <c r="AC578" s="636"/>
      <c r="AD578" s="296">
        <f>SUM(AD576:AD577)</f>
        <v>147253.68838152644</v>
      </c>
      <c r="AE578" s="607"/>
    </row>
    <row r="579" spans="2:33" x14ac:dyDescent="0.25">
      <c r="B579" s="112"/>
      <c r="C579" s="96"/>
      <c r="D579" s="80"/>
      <c r="E579" s="80"/>
      <c r="F579" s="80"/>
      <c r="G579" s="80"/>
      <c r="H579" s="80"/>
      <c r="I579" s="80"/>
      <c r="J579" s="91"/>
      <c r="K579" s="91"/>
      <c r="L579" s="80"/>
      <c r="M579" s="80"/>
      <c r="N579" s="80"/>
      <c r="O579" s="80"/>
      <c r="P579" s="80"/>
      <c r="Q579" s="180"/>
      <c r="R579" s="180"/>
      <c r="S579" s="80"/>
      <c r="T579" s="134"/>
      <c r="U579" s="292"/>
      <c r="V579" s="134"/>
      <c r="W579" s="294"/>
      <c r="X579" s="355"/>
      <c r="Y579" s="297"/>
      <c r="Z579" s="297"/>
      <c r="AA579" s="80"/>
      <c r="AB579" s="647"/>
      <c r="AC579" s="317"/>
      <c r="AD579" s="317"/>
      <c r="AE579" s="607"/>
    </row>
    <row r="580" spans="2:33" x14ac:dyDescent="0.25">
      <c r="B580" s="127" t="s">
        <v>77</v>
      </c>
      <c r="C580" s="96"/>
      <c r="D580" s="80"/>
      <c r="E580" s="80"/>
      <c r="F580" s="80"/>
      <c r="G580" s="80"/>
      <c r="H580" s="80"/>
      <c r="I580" s="80"/>
      <c r="J580" s="91"/>
      <c r="K580" s="91"/>
      <c r="L580" s="80"/>
      <c r="M580" s="80"/>
      <c r="N580" s="80"/>
      <c r="O580" s="80"/>
      <c r="P580" s="80"/>
      <c r="Q580" s="180"/>
      <c r="R580" s="180"/>
      <c r="S580" s="80"/>
      <c r="T580" s="293">
        <f>T577*(1+$F$574)</f>
        <v>1073277.4090125619</v>
      </c>
      <c r="U580" s="292"/>
      <c r="V580" s="293">
        <f>V577*(1+$F$574)</f>
        <v>306650.83691787487</v>
      </c>
      <c r="W580" s="294"/>
      <c r="X580" s="353">
        <f t="shared" si="486"/>
        <v>0.11413198218327945</v>
      </c>
      <c r="Y580" s="115"/>
      <c r="Z580" s="290">
        <f>V580/$V$601</f>
        <v>0.16536672219466325</v>
      </c>
      <c r="AA580" s="635">
        <f>+AB580/V580</f>
        <v>0.75294323586002909</v>
      </c>
      <c r="AB580" s="293">
        <f>AB577*(1+$F$574)</f>
        <v>230890.67342813077</v>
      </c>
      <c r="AC580" s="636">
        <f>+AD580/V580</f>
        <v>0.24705676413997071</v>
      </c>
      <c r="AD580" s="293">
        <f>AD577*(1+$F$574)</f>
        <v>75760.163489744038</v>
      </c>
      <c r="AE580" s="607"/>
    </row>
    <row r="581" spans="2:33" x14ac:dyDescent="0.25">
      <c r="B581" s="127" t="s">
        <v>78</v>
      </c>
      <c r="C581" s="96"/>
      <c r="D581" s="80"/>
      <c r="E581" s="80"/>
      <c r="F581" s="80"/>
      <c r="G581" s="80"/>
      <c r="H581" s="80"/>
      <c r="I581" s="80"/>
      <c r="J581" s="91"/>
      <c r="K581" s="91"/>
      <c r="L581" s="80"/>
      <c r="M581" s="80"/>
      <c r="N581" s="80"/>
      <c r="O581" s="80"/>
      <c r="P581" s="80"/>
      <c r="Q581" s="180"/>
      <c r="R581" s="180"/>
      <c r="S581" s="80"/>
      <c r="T581" s="291">
        <f>T580*(1+$F$574)</f>
        <v>1094742.957192813</v>
      </c>
      <c r="U581" s="292"/>
      <c r="V581" s="291">
        <f>V580*(1+$F$574)</f>
        <v>312783.85365623236</v>
      </c>
      <c r="W581" s="294"/>
      <c r="X581" s="354">
        <f t="shared" si="486"/>
        <v>0.11641462182694504</v>
      </c>
      <c r="Y581" s="295"/>
      <c r="Z581" s="290">
        <f>V581/$V$601</f>
        <v>0.1686740566385565</v>
      </c>
      <c r="AA581" s="635">
        <f>+AB581/V581</f>
        <v>0.75294323586002909</v>
      </c>
      <c r="AB581" s="291">
        <f>AB580*(1+$F$574)</f>
        <v>235508.48689669339</v>
      </c>
      <c r="AC581" s="636">
        <f>+AD581/V581</f>
        <v>0.24705676413997077</v>
      </c>
      <c r="AD581" s="291">
        <f>AD580*(1+$F$574)</f>
        <v>77275.366759538927</v>
      </c>
      <c r="AE581" s="607"/>
    </row>
    <row r="582" spans="2:33" ht="15.75" thickBot="1" x14ac:dyDescent="0.3">
      <c r="B582" s="142" t="s">
        <v>71</v>
      </c>
      <c r="C582" s="96"/>
      <c r="D582" s="80"/>
      <c r="E582" s="80"/>
      <c r="F582" s="80"/>
      <c r="G582" s="80"/>
      <c r="H582" s="80"/>
      <c r="I582" s="80"/>
      <c r="J582" s="91"/>
      <c r="K582" s="91"/>
      <c r="L582" s="80"/>
      <c r="M582" s="80"/>
      <c r="N582" s="80"/>
      <c r="O582" s="80"/>
      <c r="P582" s="80"/>
      <c r="Q582" s="180"/>
      <c r="R582" s="180"/>
      <c r="S582" s="80"/>
      <c r="T582" s="296">
        <f>SUM(T580:T581)</f>
        <v>2168020.3662053747</v>
      </c>
      <c r="U582" s="292"/>
      <c r="V582" s="296">
        <f>SUM(V580:V581)</f>
        <v>619434.69057410723</v>
      </c>
      <c r="W582" s="294"/>
      <c r="X582" s="338">
        <f t="shared" si="486"/>
        <v>0.23054660401022448</v>
      </c>
      <c r="Y582" s="159"/>
      <c r="Z582" s="285">
        <f>V582/$V$601</f>
        <v>0.33404077883321975</v>
      </c>
      <c r="AA582" s="80"/>
      <c r="AB582" s="296">
        <f>SUM(AB580:AB581)</f>
        <v>466399.16032482416</v>
      </c>
      <c r="AC582" s="317"/>
      <c r="AD582" s="296">
        <f>SUM(AD580:AD581)</f>
        <v>153035.53024928295</v>
      </c>
      <c r="AE582" s="607"/>
    </row>
    <row r="583" spans="2:33" x14ac:dyDescent="0.25">
      <c r="B583" s="127"/>
      <c r="C583" s="96"/>
      <c r="D583" s="80"/>
      <c r="E583" s="80"/>
      <c r="F583" s="80"/>
      <c r="G583" s="80"/>
      <c r="H583" s="80"/>
      <c r="I583" s="80"/>
      <c r="J583" s="91"/>
      <c r="K583" s="91"/>
      <c r="L583" s="80"/>
      <c r="M583" s="80"/>
      <c r="N583" s="80"/>
      <c r="O583" s="80"/>
      <c r="P583" s="80"/>
      <c r="Q583" s="180"/>
      <c r="R583" s="180"/>
      <c r="S583" s="80"/>
      <c r="T583" s="134"/>
      <c r="U583" s="292"/>
      <c r="V583" s="134"/>
      <c r="W583" s="294"/>
      <c r="X583" s="355"/>
      <c r="Y583" s="297"/>
      <c r="Z583" s="297"/>
      <c r="AA583" s="80"/>
      <c r="AB583" s="647"/>
      <c r="AC583" s="317"/>
      <c r="AD583" s="317"/>
      <c r="AE583" s="607"/>
    </row>
    <row r="584" spans="2:33" x14ac:dyDescent="0.25">
      <c r="B584" s="127" t="s">
        <v>79</v>
      </c>
      <c r="C584" s="96"/>
      <c r="D584" s="80"/>
      <c r="E584" s="80"/>
      <c r="F584" s="80"/>
      <c r="G584" s="80"/>
      <c r="H584" s="80"/>
      <c r="I584" s="80"/>
      <c r="J584" s="91"/>
      <c r="K584" s="91"/>
      <c r="L584" s="80"/>
      <c r="M584" s="80"/>
      <c r="N584" s="80"/>
      <c r="O584" s="80"/>
      <c r="P584" s="80"/>
      <c r="Q584" s="180"/>
      <c r="R584" s="180"/>
      <c r="S584" s="80"/>
      <c r="T584" s="293">
        <f>T581*(1+$F$574)</f>
        <v>1116637.8163366693</v>
      </c>
      <c r="U584" s="292"/>
      <c r="V584" s="293">
        <f>V581*(1+$F$574)</f>
        <v>319039.53072935704</v>
      </c>
      <c r="W584" s="294"/>
      <c r="X584" s="353">
        <f t="shared" si="486"/>
        <v>0.11874291426348395</v>
      </c>
      <c r="Y584" s="115"/>
      <c r="Z584" s="290">
        <f>V584/$V$601</f>
        <v>0.17204753777132767</v>
      </c>
      <c r="AA584" s="635">
        <f>+AB584/V584</f>
        <v>0.75294323586002909</v>
      </c>
      <c r="AB584" s="293">
        <f>AB581*(1+$F$574)</f>
        <v>240218.65663462726</v>
      </c>
      <c r="AC584" s="636">
        <f>+AD584/V584</f>
        <v>0.24705676413997074</v>
      </c>
      <c r="AD584" s="293">
        <f>AD581*(1+$F$574)</f>
        <v>78820.874094729705</v>
      </c>
      <c r="AE584" s="607"/>
    </row>
    <row r="585" spans="2:33" ht="15.75" thickBot="1" x14ac:dyDescent="0.3">
      <c r="B585" s="142" t="s">
        <v>72</v>
      </c>
      <c r="C585" s="101"/>
      <c r="D585" s="101"/>
      <c r="E585" s="101"/>
      <c r="F585" s="137"/>
      <c r="G585" s="101"/>
      <c r="H585" s="101"/>
      <c r="I585" s="101"/>
      <c r="J585" s="137"/>
      <c r="K585" s="137"/>
      <c r="L585" s="101"/>
      <c r="M585" s="101"/>
      <c r="N585" s="101"/>
      <c r="O585" s="101"/>
      <c r="P585" s="137"/>
      <c r="Q585" s="137"/>
      <c r="R585" s="137"/>
      <c r="S585" s="137"/>
      <c r="T585" s="296">
        <f>SUM(T584:T584)</f>
        <v>1116637.8163366693</v>
      </c>
      <c r="U585" s="292"/>
      <c r="V585" s="296">
        <f>SUM(V584:V584)</f>
        <v>319039.53072935704</v>
      </c>
      <c r="W585" s="134"/>
      <c r="X585" s="338">
        <f t="shared" si="486"/>
        <v>0.11874291426348395</v>
      </c>
      <c r="Y585" s="159"/>
      <c r="Z585" s="285">
        <f>V585/$V$601</f>
        <v>0.17204753777132767</v>
      </c>
      <c r="AA585" s="101"/>
      <c r="AB585" s="296">
        <f>SUM(AB584:AB584)</f>
        <v>240218.65663462726</v>
      </c>
      <c r="AC585" s="101"/>
      <c r="AD585" s="296">
        <f>SUM(AD584:AD584)</f>
        <v>78820.874094729705</v>
      </c>
      <c r="AE585" s="718"/>
      <c r="AF585" s="78"/>
    </row>
    <row r="586" spans="2:33" x14ac:dyDescent="0.25">
      <c r="B586" s="112"/>
      <c r="C586" s="175"/>
      <c r="D586" s="103"/>
      <c r="E586" s="103"/>
      <c r="F586" s="103"/>
      <c r="G586" s="103"/>
      <c r="H586" s="103"/>
      <c r="I586" s="103"/>
      <c r="J586" s="111"/>
      <c r="K586" s="111"/>
      <c r="L586" s="103"/>
      <c r="M586" s="103"/>
      <c r="N586" s="103"/>
      <c r="O586" s="103"/>
      <c r="P586" s="103"/>
      <c r="Q586" s="103"/>
      <c r="R586" s="103"/>
      <c r="S586" s="103"/>
      <c r="T586" s="111"/>
      <c r="U586" s="111"/>
      <c r="V586" s="111"/>
      <c r="W586" s="103"/>
      <c r="X586" s="356"/>
      <c r="Y586" s="136"/>
      <c r="Z586" s="136"/>
      <c r="AA586" s="103"/>
      <c r="AB586" s="654"/>
      <c r="AC586" s="103"/>
      <c r="AD586" s="103"/>
      <c r="AE586" s="615"/>
      <c r="AF586" s="112"/>
    </row>
    <row r="587" spans="2:33" ht="15" customHeight="1" thickBot="1" x14ac:dyDescent="0.3">
      <c r="B587" s="89" t="s">
        <v>73</v>
      </c>
      <c r="C587" s="89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140">
        <f>T585+T582+T578</f>
        <v>5377290.3396267947</v>
      </c>
      <c r="U587" s="230"/>
      <c r="V587" s="140">
        <f>V585+V582+V578</f>
        <v>1536369.4118991075</v>
      </c>
      <c r="W587" s="161"/>
      <c r="X587" s="357">
        <f t="shared" si="486"/>
        <v>0.57181936337830774</v>
      </c>
      <c r="Y587" s="161"/>
      <c r="Z587" s="287">
        <f>V587/$V$601</f>
        <v>0.82851355071937938</v>
      </c>
      <c r="AA587" s="635">
        <f>+AB587/V587</f>
        <v>0.75324287909577614</v>
      </c>
      <c r="AB587" s="140">
        <f>AB585+AB582+AB578</f>
        <v>1157259.3191735682</v>
      </c>
      <c r="AC587" s="636">
        <f>+AD587/V587</f>
        <v>0.24675712090422369</v>
      </c>
      <c r="AD587" s="140">
        <f>AD585+AD582+AD578</f>
        <v>379110.09272553911</v>
      </c>
      <c r="AE587" s="723"/>
      <c r="AF587" s="99"/>
    </row>
    <row r="588" spans="2:33" ht="15" customHeight="1" x14ac:dyDescent="0.25"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358"/>
      <c r="Y588" s="138"/>
      <c r="Z588" s="138"/>
      <c r="AA588" s="99"/>
      <c r="AB588" s="655"/>
      <c r="AC588" s="99"/>
      <c r="AD588" s="99"/>
      <c r="AE588" s="596"/>
      <c r="AF588" s="99"/>
    </row>
    <row r="589" spans="2:33" s="179" customFormat="1" ht="45" x14ac:dyDescent="0.25">
      <c r="B589" s="279" t="s">
        <v>92</v>
      </c>
      <c r="C589" s="280"/>
      <c r="D589" s="281"/>
      <c r="E589" s="282"/>
      <c r="F589" s="282"/>
      <c r="G589" s="282"/>
      <c r="H589" s="281"/>
      <c r="I589" s="282"/>
      <c r="J589" s="282"/>
      <c r="K589" s="282"/>
      <c r="L589" s="282"/>
      <c r="M589" s="282"/>
      <c r="N589" s="282"/>
      <c r="O589" s="282"/>
      <c r="P589" s="282"/>
      <c r="Q589" s="282"/>
      <c r="R589" s="282"/>
      <c r="S589" s="282"/>
      <c r="T589" s="282"/>
      <c r="U589" s="282"/>
      <c r="V589" s="282"/>
      <c r="W589" s="282"/>
      <c r="X589" s="761" t="s">
        <v>474</v>
      </c>
      <c r="Y589" s="283"/>
      <c r="Z589" s="880" t="s">
        <v>504</v>
      </c>
      <c r="AA589" s="282" t="s">
        <v>506</v>
      </c>
      <c r="AB589" s="754" t="s">
        <v>505</v>
      </c>
      <c r="AC589" s="761" t="s">
        <v>475</v>
      </c>
      <c r="AD589" s="282" t="s">
        <v>507</v>
      </c>
      <c r="AE589" s="754" t="s">
        <v>372</v>
      </c>
      <c r="AF589" s="761" t="s">
        <v>476</v>
      </c>
      <c r="AG589" s="99"/>
    </row>
    <row r="590" spans="2:33" s="179" customFormat="1" ht="15" customHeight="1" x14ac:dyDescent="0.25"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358"/>
      <c r="Y590" s="138"/>
      <c r="Z590" s="138"/>
      <c r="AA590" s="99"/>
      <c r="AB590" s="755"/>
      <c r="AC590" s="358"/>
      <c r="AD590" s="138"/>
      <c r="AE590" s="760"/>
      <c r="AF590" s="358"/>
      <c r="AG590" s="99"/>
    </row>
    <row r="591" spans="2:33" s="179" customFormat="1" ht="15" customHeight="1" thickBot="1" x14ac:dyDescent="0.3">
      <c r="B591" s="86" t="s">
        <v>87</v>
      </c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236">
        <f>T13</f>
        <v>0</v>
      </c>
      <c r="U591" s="58"/>
      <c r="V591" s="236">
        <f>V13</f>
        <v>0</v>
      </c>
      <c r="W591" s="99"/>
      <c r="X591" s="359">
        <f>V591/$V$3</f>
        <v>0</v>
      </c>
      <c r="Y591" s="138"/>
      <c r="Z591" s="286">
        <f>V591/$V$608</f>
        <v>0</v>
      </c>
      <c r="AA591" s="668"/>
      <c r="AB591" s="756">
        <f>Z591/$V$3</f>
        <v>0</v>
      </c>
      <c r="AC591" s="359"/>
      <c r="AD591" s="286"/>
      <c r="AE591" s="756">
        <f>AB591/$V$3</f>
        <v>0</v>
      </c>
      <c r="AF591" s="359"/>
      <c r="AG591" s="99"/>
    </row>
    <row r="592" spans="2:33" s="179" customFormat="1" ht="15" customHeight="1" x14ac:dyDescent="0.25"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58"/>
      <c r="U592" s="58"/>
      <c r="V592" s="58"/>
      <c r="W592" s="99"/>
      <c r="X592" s="358"/>
      <c r="Y592" s="138"/>
      <c r="Z592" s="298"/>
      <c r="AA592" s="840"/>
      <c r="AB592" s="755"/>
      <c r="AC592" s="358"/>
      <c r="AD592" s="298"/>
      <c r="AE592" s="760"/>
      <c r="AF592" s="358"/>
      <c r="AG592" s="99"/>
    </row>
    <row r="593" spans="2:33" s="179" customFormat="1" ht="15" customHeight="1" thickBot="1" x14ac:dyDescent="0.3">
      <c r="B593" s="86" t="s">
        <v>88</v>
      </c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236">
        <f>T257</f>
        <v>220859.84165068492</v>
      </c>
      <c r="U593" s="58"/>
      <c r="V593" s="236">
        <f>V257</f>
        <v>63099.95475733855</v>
      </c>
      <c r="W593" s="99"/>
      <c r="X593" s="359">
        <f>X257</f>
        <v>3.4944587296670666E-2</v>
      </c>
      <c r="Y593" s="138"/>
      <c r="Z593" s="286">
        <f>V593/$V$608</f>
        <v>2.446069429414471E-2</v>
      </c>
      <c r="AA593" s="668">
        <f>+AB593/V593</f>
        <v>0.54944893199716716</v>
      </c>
      <c r="AB593" s="757">
        <f>AB257</f>
        <v>34670.202750489232</v>
      </c>
      <c r="AC593" s="359">
        <f>+AB593/$V$3</f>
        <v>1.2903858350366264E-2</v>
      </c>
      <c r="AD593" s="286">
        <f>+AE593/V593</f>
        <v>0.45055106800283284</v>
      </c>
      <c r="AE593" s="757">
        <f>AD257</f>
        <v>28429.752006849318</v>
      </c>
      <c r="AF593" s="359">
        <f>+AE593/$V$3</f>
        <v>1.0581232981893882E-2</v>
      </c>
      <c r="AG593" s="99"/>
    </row>
    <row r="594" spans="2:33" s="179" customFormat="1" ht="15" customHeight="1" x14ac:dyDescent="0.25"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58"/>
      <c r="U594" s="58"/>
      <c r="V594" s="58"/>
      <c r="W594" s="99"/>
      <c r="X594" s="358"/>
      <c r="Y594" s="138"/>
      <c r="Z594" s="298"/>
      <c r="AA594" s="840"/>
      <c r="AB594" s="755"/>
      <c r="AC594" s="358"/>
      <c r="AD594" s="298"/>
      <c r="AE594" s="760"/>
      <c r="AF594" s="358"/>
      <c r="AG594" s="99"/>
    </row>
    <row r="595" spans="2:33" s="179" customFormat="1" ht="15" customHeight="1" thickBot="1" x14ac:dyDescent="0.3">
      <c r="B595" s="86" t="s">
        <v>89</v>
      </c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236">
        <f>T302</f>
        <v>45632.510849315062</v>
      </c>
      <c r="U595" s="58"/>
      <c r="V595" s="236">
        <f>V302</f>
        <v>13037.860242661449</v>
      </c>
      <c r="W595" s="99"/>
      <c r="X595" s="359">
        <f>X302</f>
        <v>5.3020862918030116E-3</v>
      </c>
      <c r="Y595" s="138"/>
      <c r="Z595" s="286">
        <f>V595/$V$608</f>
        <v>5.0541258685836872E-3</v>
      </c>
      <c r="AA595" s="668">
        <f>+AB595/V595</f>
        <v>1</v>
      </c>
      <c r="AB595" s="757">
        <f>AB302</f>
        <v>13037.860242661449</v>
      </c>
      <c r="AC595" s="359">
        <f>+AB595/$V$3</f>
        <v>4.852544502665224E-3</v>
      </c>
      <c r="AD595" s="286">
        <f>+AE595/V595</f>
        <v>0</v>
      </c>
      <c r="AE595" s="757">
        <f>AD302</f>
        <v>0</v>
      </c>
      <c r="AF595" s="359">
        <f>+AE595/$V$3</f>
        <v>0</v>
      </c>
      <c r="AG595" s="99"/>
    </row>
    <row r="596" spans="2:33" s="179" customFormat="1" ht="15" customHeight="1" x14ac:dyDescent="0.25"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58"/>
      <c r="U596" s="58"/>
      <c r="V596" s="58"/>
      <c r="W596" s="99"/>
      <c r="X596" s="358"/>
      <c r="Y596" s="138"/>
      <c r="Z596" s="298"/>
      <c r="AA596" s="840"/>
      <c r="AB596" s="755"/>
      <c r="AC596" s="358"/>
      <c r="AD596" s="298"/>
      <c r="AE596" s="760"/>
      <c r="AF596" s="358"/>
      <c r="AG596" s="99"/>
    </row>
    <row r="597" spans="2:33" s="179" customFormat="1" ht="44.1" customHeight="1" thickBot="1" x14ac:dyDescent="0.3">
      <c r="B597" s="86" t="s">
        <v>357</v>
      </c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236">
        <f>T587</f>
        <v>5377290.3396267947</v>
      </c>
      <c r="U597" s="58"/>
      <c r="V597" s="236">
        <f>V587</f>
        <v>1536369.4118991075</v>
      </c>
      <c r="W597" s="99"/>
      <c r="X597" s="359">
        <f>V597/$V$3</f>
        <v>0.57181936337830774</v>
      </c>
      <c r="Y597" s="138"/>
      <c r="Z597" s="286">
        <f>V597/$V$608</f>
        <v>0.59557352539889608</v>
      </c>
      <c r="AA597" s="668">
        <f>+AB597/V597</f>
        <v>0.75324287909577614</v>
      </c>
      <c r="AB597" s="757">
        <f>AB587</f>
        <v>1157259.3191735682</v>
      </c>
      <c r="AC597" s="359">
        <f>+AB597/$V$3</f>
        <v>0.4307188635937903</v>
      </c>
      <c r="AD597" s="286">
        <f>+AE597/V597</f>
        <v>0.24675712090422369</v>
      </c>
      <c r="AE597" s="757">
        <f>AD587</f>
        <v>379110.09272553911</v>
      </c>
      <c r="AF597" s="359">
        <f>+AE597/$V$3</f>
        <v>0.1411004997845173</v>
      </c>
      <c r="AG597" s="99"/>
    </row>
    <row r="598" spans="2:33" s="179" customFormat="1" ht="15" customHeight="1" x14ac:dyDescent="0.25"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69"/>
      <c r="U598" s="69"/>
      <c r="V598" s="69"/>
      <c r="W598" s="99"/>
      <c r="X598" s="358"/>
      <c r="Y598" s="138"/>
      <c r="Z598" s="298"/>
      <c r="AA598" s="840"/>
      <c r="AB598" s="755"/>
      <c r="AC598" s="358"/>
      <c r="AD598" s="298"/>
      <c r="AE598" s="760"/>
      <c r="AF598" s="358"/>
      <c r="AG598" s="99"/>
    </row>
    <row r="599" spans="2:33" s="179" customFormat="1" ht="41.1" customHeight="1" thickBot="1" x14ac:dyDescent="0.3">
      <c r="B599" s="86" t="s">
        <v>356</v>
      </c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236">
        <f>+T408</f>
        <v>846514.37821623124</v>
      </c>
      <c r="U599" s="58"/>
      <c r="V599" s="236">
        <f>+V408</f>
        <v>241861.25091892327</v>
      </c>
      <c r="W599" s="99"/>
      <c r="X599" s="736">
        <f>+X408</f>
        <v>9.4923076975308135E-2</v>
      </c>
      <c r="Y599" s="138"/>
      <c r="Z599" s="286">
        <f>V599/$V$608</f>
        <v>9.3757501777593025E-2</v>
      </c>
      <c r="AA599" s="668">
        <f>+AB599/V599</f>
        <v>1.2345422440893724E-2</v>
      </c>
      <c r="AB599" s="757">
        <f>+AB408</f>
        <v>2985.8793146771031</v>
      </c>
      <c r="AC599" s="736">
        <f>+AB599/$V$3</f>
        <v>1.1113105973208752E-3</v>
      </c>
      <c r="AD599" s="286">
        <f>+AE599/V599</f>
        <v>0.98765457755910624</v>
      </c>
      <c r="AE599" s="757">
        <f>+AD408</f>
        <v>238875.37160424615</v>
      </c>
      <c r="AF599" s="736">
        <f>+AE599/$V$3</f>
        <v>8.8906718566242021E-2</v>
      </c>
      <c r="AG599" s="99"/>
    </row>
    <row r="600" spans="2:33" s="179" customFormat="1" ht="15" customHeight="1" x14ac:dyDescent="0.25"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69"/>
      <c r="U600" s="69"/>
      <c r="V600" s="69"/>
      <c r="W600" s="99"/>
      <c r="X600" s="358"/>
      <c r="Y600" s="138"/>
      <c r="Z600" s="298"/>
      <c r="AA600" s="99"/>
      <c r="AB600" s="755"/>
      <c r="AC600" s="358"/>
      <c r="AD600" s="298"/>
      <c r="AE600" s="760"/>
      <c r="AF600" s="358"/>
      <c r="AG600" s="99"/>
    </row>
    <row r="601" spans="2:33" s="179" customFormat="1" ht="15.75" thickBot="1" x14ac:dyDescent="0.3">
      <c r="B601" s="237" t="s">
        <v>323</v>
      </c>
      <c r="C601" s="238"/>
      <c r="D601" s="238"/>
      <c r="E601" s="238"/>
      <c r="F601" s="238"/>
      <c r="G601" s="238"/>
      <c r="H601" s="238"/>
      <c r="I601" s="238"/>
      <c r="J601" s="238"/>
      <c r="K601" s="238"/>
      <c r="L601" s="238"/>
      <c r="M601" s="238"/>
      <c r="N601" s="238"/>
      <c r="O601" s="238"/>
      <c r="P601" s="238"/>
      <c r="Q601" s="238"/>
      <c r="R601" s="238"/>
      <c r="S601" s="238"/>
      <c r="T601" s="315">
        <f>T597+T595+T593+T591+T599</f>
        <v>6490297.070343026</v>
      </c>
      <c r="U601" s="237"/>
      <c r="V601" s="315">
        <f>V597+V595+V593+V591+V599</f>
        <v>1854368.4778180309</v>
      </c>
      <c r="W601" s="238"/>
      <c r="X601" s="360">
        <f>V601/$V$3</f>
        <v>0.69017502837679601</v>
      </c>
      <c r="Y601" s="239"/>
      <c r="Z601" s="299">
        <f>V601/$V$608</f>
        <v>0.71884584733921753</v>
      </c>
      <c r="AA601" s="709">
        <f>+AB601/V601</f>
        <v>0.65140950999272351</v>
      </c>
      <c r="AB601" s="758">
        <f>AB597+AB595+AB593+AB591+AB599</f>
        <v>1207953.2614813962</v>
      </c>
      <c r="AC601" s="360">
        <f>+AB601/$V$3</f>
        <v>0.44958657704414273</v>
      </c>
      <c r="AD601" s="299">
        <f>+AE601/V601</f>
        <v>0.34859049000727638</v>
      </c>
      <c r="AE601" s="758">
        <f>AE597+AE595+AE593+AE591+AE599</f>
        <v>646415.21633663459</v>
      </c>
      <c r="AF601" s="360">
        <f>+AE601/$V$3</f>
        <v>0.24058845133265319</v>
      </c>
      <c r="AG601" s="99"/>
    </row>
    <row r="602" spans="2:33" s="179" customFormat="1" ht="15" customHeight="1" x14ac:dyDescent="0.25"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358"/>
      <c r="Y602" s="138"/>
      <c r="Z602" s="138"/>
      <c r="AA602" s="99"/>
      <c r="AB602" s="755"/>
      <c r="AC602" s="358"/>
      <c r="AD602" s="138"/>
      <c r="AE602" s="760"/>
      <c r="AF602" s="358"/>
      <c r="AG602" s="99"/>
    </row>
    <row r="603" spans="2:33" s="179" customFormat="1" ht="15" customHeight="1" x14ac:dyDescent="0.25"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358"/>
      <c r="Y603" s="138"/>
      <c r="Z603" s="138"/>
      <c r="AA603" s="99"/>
      <c r="AB603" s="755"/>
      <c r="AC603" s="358"/>
      <c r="AD603" s="138"/>
      <c r="AE603" s="760"/>
      <c r="AF603" s="358"/>
      <c r="AG603" s="99"/>
    </row>
    <row r="604" spans="2:33" s="179" customFormat="1" ht="17.100000000000001" customHeight="1" thickBot="1" x14ac:dyDescent="0.3">
      <c r="B604" s="752" t="s">
        <v>512</v>
      </c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236">
        <f>+T623+T631+T638+T646</f>
        <v>1717677.8082191781</v>
      </c>
      <c r="U604" s="58"/>
      <c r="V604" s="236">
        <f>+V623+V631+V638+V646</f>
        <v>490765.08806262235</v>
      </c>
      <c r="W604" s="99"/>
      <c r="X604" s="736">
        <f>+X623+X631+X638+X646</f>
        <v>0.18261894720457061</v>
      </c>
      <c r="Y604" s="138"/>
      <c r="Z604" s="286">
        <f>V604/$V$608</f>
        <v>0.19024506175169151</v>
      </c>
      <c r="AA604" s="635">
        <f>+AB604/V604</f>
        <v>0.71804665713058913</v>
      </c>
      <c r="AB604" s="236">
        <f>+AB623+AB631+AB638+AB646</f>
        <v>352392.23091976519</v>
      </c>
      <c r="AC604" s="736">
        <f>+AB604/$V$3</f>
        <v>0.13115641302368913</v>
      </c>
      <c r="AD604" s="286">
        <f>+AE604/V604</f>
        <v>0.28195334286941076</v>
      </c>
      <c r="AE604" s="757">
        <f>+AD623+AD631+AD638+AD646</f>
        <v>138372.85714285713</v>
      </c>
      <c r="AF604" s="736">
        <f>+AE604/$V$3</f>
        <v>5.1500816449125013E-2</v>
      </c>
      <c r="AG604" s="99"/>
    </row>
    <row r="605" spans="2:33" s="179" customFormat="1" ht="15" customHeight="1" x14ac:dyDescent="0.25"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751"/>
      <c r="Y605" s="138"/>
      <c r="Z605" s="138"/>
      <c r="AA605" s="99"/>
      <c r="AB605" s="755"/>
      <c r="AC605" s="751"/>
      <c r="AD605" s="138"/>
      <c r="AE605" s="760"/>
      <c r="AF605" s="751"/>
      <c r="AG605" s="99"/>
    </row>
    <row r="606" spans="2:33" s="179" customFormat="1" ht="15" customHeight="1" thickBot="1" x14ac:dyDescent="0.3">
      <c r="B606" s="86" t="s">
        <v>564</v>
      </c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236">
        <f>+(T601+T604)*0.1</f>
        <v>820797.48785622045</v>
      </c>
      <c r="U606" s="58"/>
      <c r="V606" s="236">
        <f>+(V601+V604)*0.1</f>
        <v>234513.35658806536</v>
      </c>
      <c r="W606" s="99"/>
      <c r="X606" s="736">
        <f>+(X601+X604)*0.1</f>
        <v>8.727939755813667E-2</v>
      </c>
      <c r="Y606" s="138"/>
      <c r="Z606" s="286">
        <f>V606/$V$608</f>
        <v>9.0909090909090925E-2</v>
      </c>
      <c r="AA606" s="635">
        <f>+AB606/V606</f>
        <v>0.66535463698214314</v>
      </c>
      <c r="AB606" s="757">
        <f>+(AB601+AB604)*0.1</f>
        <v>156034.54924011612</v>
      </c>
      <c r="AC606" s="736">
        <f>+AB606/$V$3</f>
        <v>5.8074299006783181E-2</v>
      </c>
      <c r="AD606" s="286">
        <f>+AE606/V606</f>
        <v>0.33464536301785652</v>
      </c>
      <c r="AE606" s="757">
        <f>+(AE601+AE604)*0.1</f>
        <v>78478.807347949172</v>
      </c>
      <c r="AF606" s="736">
        <f>+AE606/$V$3</f>
        <v>2.920892677817782E-2</v>
      </c>
      <c r="AG606" s="99"/>
    </row>
    <row r="607" spans="2:33" s="179" customFormat="1" ht="15" customHeight="1" x14ac:dyDescent="0.25"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358"/>
      <c r="Y607" s="138"/>
      <c r="Z607" s="138"/>
      <c r="AA607" s="99"/>
      <c r="AB607" s="755"/>
      <c r="AC607" s="358"/>
      <c r="AD607" s="138"/>
      <c r="AE607" s="760"/>
      <c r="AF607" s="358"/>
      <c r="AG607" s="99"/>
    </row>
    <row r="608" spans="2:33" s="179" customFormat="1" ht="15.75" thickBot="1" x14ac:dyDescent="0.3">
      <c r="B608" s="237" t="s">
        <v>358</v>
      </c>
      <c r="C608" s="238"/>
      <c r="D608" s="238"/>
      <c r="E608" s="238"/>
      <c r="F608" s="238"/>
      <c r="G608" s="238"/>
      <c r="H608" s="238"/>
      <c r="I608" s="238"/>
      <c r="J608" s="238"/>
      <c r="K608" s="238"/>
      <c r="L608" s="238"/>
      <c r="M608" s="238"/>
      <c r="N608" s="238"/>
      <c r="O608" s="238"/>
      <c r="P608" s="238"/>
      <c r="Q608" s="238"/>
      <c r="R608" s="238"/>
      <c r="S608" s="238"/>
      <c r="T608" s="315">
        <f>+SUM(T601:T607)</f>
        <v>9028772.366418425</v>
      </c>
      <c r="U608" s="237"/>
      <c r="V608" s="315">
        <f>+SUM(V601:V607)</f>
        <v>2579646.9224687186</v>
      </c>
      <c r="W608" s="238"/>
      <c r="X608" s="739">
        <f>+SUM(X601:X607)</f>
        <v>0.96007337313950325</v>
      </c>
      <c r="Y608" s="239"/>
      <c r="Z608" s="299">
        <f>V608/$V$608</f>
        <v>1</v>
      </c>
      <c r="AA608" s="709">
        <f>+AB608/V608</f>
        <v>0.66535463698214325</v>
      </c>
      <c r="AB608" s="759">
        <f>+SUM(AB601:AB607)</f>
        <v>1716380.0416412773</v>
      </c>
      <c r="AC608" s="739">
        <f>+AB608/$V$3</f>
        <v>0.63881728907461499</v>
      </c>
      <c r="AD608" s="299">
        <f>+AE608/V608</f>
        <v>0.33464536301785658</v>
      </c>
      <c r="AE608" s="759">
        <f>+SUM(AE601:AE607)</f>
        <v>863266.88082744088</v>
      </c>
      <c r="AF608" s="739">
        <f>+AE608/$V$3</f>
        <v>0.32129819455995601</v>
      </c>
      <c r="AG608" s="99"/>
    </row>
    <row r="609" spans="2:33" s="179" customFormat="1" ht="15" customHeight="1" x14ac:dyDescent="0.25"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358"/>
      <c r="Y609" s="138"/>
      <c r="Z609" s="138"/>
      <c r="AA609" s="99"/>
      <c r="AB609" s="655"/>
      <c r="AC609" s="753"/>
      <c r="AD609" s="99"/>
      <c r="AE609" s="655"/>
      <c r="AF609" s="596"/>
      <c r="AG609" s="99"/>
    </row>
    <row r="610" spans="2:33" s="179" customFormat="1" ht="15" customHeight="1" x14ac:dyDescent="0.25"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358"/>
      <c r="Y610" s="138"/>
      <c r="Z610" s="138"/>
      <c r="AA610" s="99"/>
      <c r="AB610" s="655"/>
      <c r="AC610" s="99"/>
      <c r="AD610" s="99"/>
      <c r="AE610" s="596"/>
      <c r="AF610" s="99"/>
    </row>
    <row r="611" spans="2:33" s="179" customFormat="1" ht="15" customHeight="1" x14ac:dyDescent="0.25"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358"/>
      <c r="Y611" s="138"/>
      <c r="Z611" s="138"/>
      <c r="AA611" s="99"/>
      <c r="AB611" s="655"/>
      <c r="AC611" s="99"/>
      <c r="AD611" s="99"/>
      <c r="AE611" s="596"/>
      <c r="AF611" s="99"/>
    </row>
    <row r="612" spans="2:33" s="179" customFormat="1" ht="15" customHeight="1" x14ac:dyDescent="0.25"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358"/>
      <c r="Y612" s="138"/>
      <c r="Z612" s="138"/>
      <c r="AA612" s="99"/>
      <c r="AB612" s="655"/>
      <c r="AC612" s="99"/>
      <c r="AD612" s="99"/>
      <c r="AE612" s="596"/>
      <c r="AF612" s="99"/>
    </row>
    <row r="613" spans="2:33" x14ac:dyDescent="0.25">
      <c r="B613" s="179" t="s">
        <v>370</v>
      </c>
    </row>
    <row r="614" spans="2:33" s="179" customFormat="1" x14ac:dyDescent="0.25">
      <c r="V614" s="109"/>
      <c r="X614" s="329"/>
      <c r="AB614" s="639"/>
      <c r="AE614" s="612"/>
    </row>
    <row r="615" spans="2:33" ht="26.25" customHeight="1" x14ac:dyDescent="0.25">
      <c r="B615" s="494" t="s">
        <v>189</v>
      </c>
    </row>
    <row r="616" spans="2:33" s="518" customFormat="1" ht="26.25" customHeight="1" x14ac:dyDescent="0.25">
      <c r="B616" s="518" t="s">
        <v>563</v>
      </c>
      <c r="X616" s="521"/>
      <c r="AB616" s="657"/>
      <c r="AE616" s="614"/>
    </row>
    <row r="617" spans="2:33" s="179" customFormat="1" x14ac:dyDescent="0.25">
      <c r="B617" s="325" t="s">
        <v>169</v>
      </c>
      <c r="C617" s="318"/>
      <c r="D617" s="193" t="s">
        <v>98</v>
      </c>
      <c r="E617" s="317"/>
      <c r="F617" s="321">
        <v>4</v>
      </c>
      <c r="G617" s="317"/>
      <c r="H617" s="193" t="s">
        <v>177</v>
      </c>
      <c r="I617" s="317"/>
      <c r="J617" s="321">
        <v>1</v>
      </c>
      <c r="K617" s="157"/>
      <c r="L617" s="193"/>
      <c r="M617" s="317"/>
      <c r="N617" s="322"/>
      <c r="O617" s="323"/>
      <c r="P617" s="321">
        <v>157500</v>
      </c>
      <c r="Q617" s="322"/>
      <c r="R617" s="327">
        <f t="shared" ref="R617:R622" si="487">P617/$V$6</f>
        <v>45000</v>
      </c>
      <c r="S617" s="322"/>
      <c r="T617" s="319">
        <f t="shared" ref="T617:T622" si="488">IF(N617=0,IF(J617=0,F617*P617,F617*J617*P617),F617*J617*N617*P617)</f>
        <v>630000</v>
      </c>
      <c r="U617" s="317"/>
      <c r="V617" s="319">
        <f t="shared" ref="V617:V622" si="489">T617/$V$6</f>
        <v>180000</v>
      </c>
      <c r="W617" s="320"/>
      <c r="X617" s="337">
        <f t="shared" ref="X617:X622" si="490">V617/$V$3</f>
        <v>6.699396942618549E-2</v>
      </c>
      <c r="Y617" s="185"/>
      <c r="Z617" s="326">
        <f t="shared" ref="Z617:Z623" si="491">V617/$V$601</f>
        <v>9.7068086603693551E-2</v>
      </c>
      <c r="AA617" s="635">
        <v>0.75</v>
      </c>
      <c r="AB617" s="638">
        <f t="shared" ref="AB617:AB622" si="492">+W617+V617*AA617</f>
        <v>135000</v>
      </c>
      <c r="AC617" s="637">
        <f t="shared" ref="AC617:AC622" si="493">+AD617/V617</f>
        <v>0.25</v>
      </c>
      <c r="AD617" s="292">
        <f t="shared" ref="AD617:AD622" si="494">+V617-AB617</f>
        <v>45000</v>
      </c>
      <c r="AE617" s="607"/>
    </row>
    <row r="618" spans="2:33" s="112" customFormat="1" ht="15" customHeight="1" x14ac:dyDescent="0.25">
      <c r="B618" s="325" t="s">
        <v>170</v>
      </c>
      <c r="C618" s="318"/>
      <c r="D618" s="193" t="s">
        <v>98</v>
      </c>
      <c r="E618" s="317"/>
      <c r="F618" s="321">
        <v>4</v>
      </c>
      <c r="G618" s="317"/>
      <c r="H618" s="193" t="s">
        <v>177</v>
      </c>
      <c r="I618" s="317"/>
      <c r="J618" s="321">
        <v>12</v>
      </c>
      <c r="K618" s="157"/>
      <c r="L618" s="193"/>
      <c r="M618" s="317"/>
      <c r="N618" s="322"/>
      <c r="O618" s="323"/>
      <c r="P618" s="321">
        <v>300</v>
      </c>
      <c r="Q618" s="322"/>
      <c r="R618" s="327">
        <f t="shared" si="487"/>
        <v>85.714285714285708</v>
      </c>
      <c r="S618" s="322"/>
      <c r="T618" s="319">
        <f t="shared" si="488"/>
        <v>14400</v>
      </c>
      <c r="U618" s="317"/>
      <c r="V618" s="319">
        <f t="shared" si="489"/>
        <v>4114.2857142857147</v>
      </c>
      <c r="W618" s="320"/>
      <c r="X618" s="337">
        <f t="shared" si="490"/>
        <v>1.5312907297413826E-3</v>
      </c>
      <c r="Y618" s="185"/>
      <c r="Z618" s="326">
        <f t="shared" si="491"/>
        <v>2.2186991223701385E-3</v>
      </c>
      <c r="AA618" s="635">
        <v>0.75</v>
      </c>
      <c r="AB618" s="638">
        <f t="shared" si="492"/>
        <v>3085.7142857142862</v>
      </c>
      <c r="AC618" s="637">
        <f t="shared" si="493"/>
        <v>0.24999999999999994</v>
      </c>
      <c r="AD618" s="292">
        <f t="shared" si="494"/>
        <v>1028.5714285714284</v>
      </c>
      <c r="AE618" s="613"/>
      <c r="AF618" s="211"/>
    </row>
    <row r="619" spans="2:33" s="179" customFormat="1" ht="15" customHeight="1" x14ac:dyDescent="0.25">
      <c r="B619" s="178" t="s">
        <v>179</v>
      </c>
      <c r="C619" s="317"/>
      <c r="D619" s="193" t="s">
        <v>174</v>
      </c>
      <c r="E619" s="317"/>
      <c r="F619" s="321">
        <v>6</v>
      </c>
      <c r="G619" s="317"/>
      <c r="H619" s="193" t="s">
        <v>177</v>
      </c>
      <c r="I619" s="317"/>
      <c r="J619" s="321">
        <v>1</v>
      </c>
      <c r="K619" s="322"/>
      <c r="L619" s="323"/>
      <c r="M619" s="323"/>
      <c r="N619" s="323"/>
      <c r="O619" s="323"/>
      <c r="P619" s="321">
        <v>2450</v>
      </c>
      <c r="Q619" s="322"/>
      <c r="R619" s="327">
        <f t="shared" si="487"/>
        <v>700</v>
      </c>
      <c r="S619" s="322"/>
      <c r="T619" s="319">
        <f t="shared" si="488"/>
        <v>14700</v>
      </c>
      <c r="U619" s="317"/>
      <c r="V619" s="319">
        <f t="shared" si="489"/>
        <v>4200</v>
      </c>
      <c r="W619" s="320"/>
      <c r="X619" s="337">
        <f t="shared" si="490"/>
        <v>1.563192619944328E-3</v>
      </c>
      <c r="Y619" s="185"/>
      <c r="Z619" s="326">
        <f t="shared" si="491"/>
        <v>2.2649220207528495E-3</v>
      </c>
      <c r="AA619" s="635">
        <v>1</v>
      </c>
      <c r="AB619" s="638">
        <f t="shared" si="492"/>
        <v>4200</v>
      </c>
      <c r="AC619" s="637">
        <f t="shared" si="493"/>
        <v>0</v>
      </c>
      <c r="AD619" s="292">
        <f t="shared" si="494"/>
        <v>0</v>
      </c>
      <c r="AE619" s="607" t="s">
        <v>66</v>
      </c>
    </row>
    <row r="620" spans="2:33" s="112" customFormat="1" ht="15" customHeight="1" x14ac:dyDescent="0.25">
      <c r="B620" s="325" t="s">
        <v>171</v>
      </c>
      <c r="C620" s="318"/>
      <c r="D620" s="193" t="s">
        <v>175</v>
      </c>
      <c r="E620" s="317"/>
      <c r="F620" s="321">
        <v>3</v>
      </c>
      <c r="G620" s="317"/>
      <c r="H620" s="193" t="s">
        <v>177</v>
      </c>
      <c r="I620" s="317"/>
      <c r="J620" s="321">
        <v>1</v>
      </c>
      <c r="K620" s="157"/>
      <c r="L620" s="193"/>
      <c r="M620" s="317"/>
      <c r="N620" s="322"/>
      <c r="O620" s="323"/>
      <c r="P620" s="321">
        <v>1500</v>
      </c>
      <c r="Q620" s="322"/>
      <c r="R620" s="327">
        <f t="shared" si="487"/>
        <v>428.57142857142856</v>
      </c>
      <c r="S620" s="322"/>
      <c r="T620" s="319">
        <f t="shared" si="488"/>
        <v>4500</v>
      </c>
      <c r="U620" s="317"/>
      <c r="V620" s="319">
        <f t="shared" si="489"/>
        <v>1285.7142857142858</v>
      </c>
      <c r="W620" s="320"/>
      <c r="X620" s="337">
        <f t="shared" si="490"/>
        <v>4.7852835304418209E-4</v>
      </c>
      <c r="Y620" s="185"/>
      <c r="Z620" s="326">
        <f t="shared" si="491"/>
        <v>6.9334347574066823E-4</v>
      </c>
      <c r="AA620" s="635">
        <v>1</v>
      </c>
      <c r="AB620" s="638">
        <f t="shared" si="492"/>
        <v>1285.7142857142858</v>
      </c>
      <c r="AC620" s="637">
        <f t="shared" si="493"/>
        <v>0</v>
      </c>
      <c r="AD620" s="292">
        <f t="shared" si="494"/>
        <v>0</v>
      </c>
      <c r="AE620" s="613"/>
      <c r="AF620" s="211"/>
    </row>
    <row r="621" spans="2:33" s="112" customFormat="1" ht="15" customHeight="1" x14ac:dyDescent="0.25">
      <c r="B621" s="325" t="s">
        <v>172</v>
      </c>
      <c r="C621" s="318"/>
      <c r="D621" s="193" t="s">
        <v>176</v>
      </c>
      <c r="E621" s="317"/>
      <c r="F621" s="321">
        <v>3</v>
      </c>
      <c r="G621" s="317"/>
      <c r="H621" s="193" t="s">
        <v>177</v>
      </c>
      <c r="I621" s="317"/>
      <c r="J621" s="321">
        <v>1</v>
      </c>
      <c r="K621" s="157"/>
      <c r="L621" s="193"/>
      <c r="M621" s="317"/>
      <c r="N621" s="322"/>
      <c r="O621" s="323"/>
      <c r="P621" s="321">
        <v>90</v>
      </c>
      <c r="Q621" s="322"/>
      <c r="R621" s="327">
        <f t="shared" si="487"/>
        <v>25.714285714285715</v>
      </c>
      <c r="S621" s="322"/>
      <c r="T621" s="319">
        <f t="shared" si="488"/>
        <v>270</v>
      </c>
      <c r="U621" s="317"/>
      <c r="V621" s="319">
        <f t="shared" si="489"/>
        <v>77.142857142857139</v>
      </c>
      <c r="W621" s="320"/>
      <c r="X621" s="337">
        <f t="shared" si="490"/>
        <v>2.871170118265092E-5</v>
      </c>
      <c r="Y621" s="185"/>
      <c r="Z621" s="326">
        <f t="shared" si="491"/>
        <v>4.1600608544440088E-5</v>
      </c>
      <c r="AA621" s="635">
        <v>1</v>
      </c>
      <c r="AB621" s="638">
        <f t="shared" si="492"/>
        <v>77.142857142857139</v>
      </c>
      <c r="AC621" s="637">
        <f t="shared" si="493"/>
        <v>0</v>
      </c>
      <c r="AD621" s="292">
        <f t="shared" si="494"/>
        <v>0</v>
      </c>
      <c r="AE621" s="613"/>
      <c r="AF621" s="211"/>
    </row>
    <row r="622" spans="2:33" s="179" customFormat="1" x14ac:dyDescent="0.25">
      <c r="B622" s="325" t="s">
        <v>181</v>
      </c>
      <c r="C622" s="318"/>
      <c r="D622" s="193" t="s">
        <v>174</v>
      </c>
      <c r="E622" s="317"/>
      <c r="F622" s="321">
        <v>6</v>
      </c>
      <c r="G622" s="317"/>
      <c r="H622" s="193" t="s">
        <v>177</v>
      </c>
      <c r="I622" s="317"/>
      <c r="J622" s="321">
        <v>1</v>
      </c>
      <c r="K622" s="157"/>
      <c r="L622" s="193"/>
      <c r="M622" s="317"/>
      <c r="N622" s="322"/>
      <c r="O622" s="323"/>
      <c r="P622" s="321">
        <v>30</v>
      </c>
      <c r="Q622" s="322"/>
      <c r="R622" s="327">
        <f t="shared" si="487"/>
        <v>8.5714285714285712</v>
      </c>
      <c r="S622" s="322"/>
      <c r="T622" s="319">
        <f t="shared" si="488"/>
        <v>180</v>
      </c>
      <c r="U622" s="317"/>
      <c r="V622" s="319">
        <f t="shared" si="489"/>
        <v>51.428571428571431</v>
      </c>
      <c r="W622" s="320"/>
      <c r="X622" s="337">
        <f t="shared" si="490"/>
        <v>1.9141134121767283E-5</v>
      </c>
      <c r="Y622" s="185"/>
      <c r="Z622" s="326">
        <f t="shared" si="491"/>
        <v>2.7733739029626731E-5</v>
      </c>
      <c r="AA622" s="635">
        <v>1</v>
      </c>
      <c r="AB622" s="638">
        <f t="shared" si="492"/>
        <v>51.428571428571431</v>
      </c>
      <c r="AC622" s="637">
        <f t="shared" si="493"/>
        <v>0</v>
      </c>
      <c r="AD622" s="292">
        <f t="shared" si="494"/>
        <v>0</v>
      </c>
      <c r="AE622" s="607"/>
    </row>
    <row r="623" spans="2:33" s="179" customFormat="1" ht="15.75" thickBot="1" x14ac:dyDescent="0.3">
      <c r="B623" s="176" t="s">
        <v>183</v>
      </c>
      <c r="C623" s="317"/>
      <c r="D623" s="324"/>
      <c r="E623" s="317"/>
      <c r="F623" s="322"/>
      <c r="G623" s="317"/>
      <c r="H623" s="324"/>
      <c r="I623" s="317"/>
      <c r="J623" s="322"/>
      <c r="K623" s="157"/>
      <c r="L623" s="323"/>
      <c r="M623" s="323"/>
      <c r="N623" s="323"/>
      <c r="O623" s="323"/>
      <c r="P623" s="322"/>
      <c r="Q623" s="322"/>
      <c r="R623" s="322"/>
      <c r="S623" s="322"/>
      <c r="T623" s="133">
        <f>SUM(T617:T622)</f>
        <v>664050</v>
      </c>
      <c r="U623" s="317"/>
      <c r="V623" s="133">
        <f>SUM(V617:V622)</f>
        <v>189728.57142857145</v>
      </c>
      <c r="W623" s="109"/>
      <c r="X623" s="338">
        <f>SUM(X617:X621)</f>
        <v>7.0595692830098034E-2</v>
      </c>
      <c r="Y623" s="119"/>
      <c r="Z623" s="243">
        <f t="shared" si="491"/>
        <v>0.10231438557013128</v>
      </c>
      <c r="AA623" s="317"/>
      <c r="AB623" s="133">
        <f>SUM(AB617:AB622)</f>
        <v>143700.00000000003</v>
      </c>
      <c r="AC623" s="317"/>
      <c r="AD623" s="133">
        <f>SUM(AD617:AD622)</f>
        <v>46028.571428571428</v>
      </c>
      <c r="AE623" s="607"/>
    </row>
    <row r="624" spans="2:33" s="179" customFormat="1" x14ac:dyDescent="0.25">
      <c r="B624" s="177"/>
      <c r="C624" s="103"/>
      <c r="D624" s="523"/>
      <c r="E624" s="103"/>
      <c r="F624" s="524" t="s">
        <v>135</v>
      </c>
      <c r="G624" s="103"/>
      <c r="H624" s="523"/>
      <c r="I624" s="103"/>
      <c r="J624" s="524"/>
      <c r="K624" s="524"/>
      <c r="L624" s="525"/>
      <c r="M624" s="525"/>
      <c r="N624" s="525"/>
      <c r="O624" s="525"/>
      <c r="P624" s="524"/>
      <c r="Q624" s="524"/>
      <c r="R624" s="524"/>
      <c r="S624" s="524"/>
      <c r="T624" s="474"/>
      <c r="U624" s="103"/>
      <c r="V624" s="474"/>
      <c r="W624" s="111"/>
      <c r="X624" s="476"/>
      <c r="Y624" s="120"/>
      <c r="Z624" s="326"/>
      <c r="AA624" s="103"/>
      <c r="AB624" s="654"/>
      <c r="AC624" s="103"/>
      <c r="AD624" s="103"/>
      <c r="AE624" s="615"/>
    </row>
    <row r="625" spans="1:31" s="179" customFormat="1" x14ac:dyDescent="0.25">
      <c r="B625" s="177"/>
      <c r="C625" s="103"/>
      <c r="D625" s="523" t="s">
        <v>135</v>
      </c>
      <c r="E625" s="103"/>
      <c r="F625" s="524" t="s">
        <v>135</v>
      </c>
      <c r="G625" s="103"/>
      <c r="H625" s="523"/>
      <c r="I625" s="103"/>
      <c r="J625" s="524"/>
      <c r="K625" s="524"/>
      <c r="L625" s="525"/>
      <c r="M625" s="525"/>
      <c r="N625" s="525"/>
      <c r="O625" s="525"/>
      <c r="P625" s="524"/>
      <c r="Q625" s="524"/>
      <c r="R625" s="524"/>
      <c r="S625" s="524"/>
      <c r="T625" s="474"/>
      <c r="U625" s="103"/>
      <c r="V625" s="474"/>
      <c r="W625" s="111"/>
      <c r="X625" s="476"/>
      <c r="Y625" s="120"/>
      <c r="Z625" s="326"/>
      <c r="AA625" s="103"/>
      <c r="AB625" s="654"/>
      <c r="AC625" s="103"/>
      <c r="AD625" s="103"/>
      <c r="AE625" s="615"/>
    </row>
    <row r="626" spans="1:31" s="179" customFormat="1" x14ac:dyDescent="0.25">
      <c r="B626" s="177" t="s">
        <v>182</v>
      </c>
      <c r="C626" s="103"/>
      <c r="D626" s="523"/>
      <c r="E626" s="103"/>
      <c r="F626" s="524"/>
      <c r="G626" s="103"/>
      <c r="H626" s="523" t="s">
        <v>135</v>
      </c>
      <c r="I626" s="103"/>
      <c r="J626" s="524"/>
      <c r="K626" s="524"/>
      <c r="L626" s="525"/>
      <c r="M626" s="525"/>
      <c r="N626" s="525"/>
      <c r="O626" s="525"/>
      <c r="P626" s="524"/>
      <c r="Q626" s="524"/>
      <c r="R626" s="524"/>
      <c r="S626" s="524"/>
      <c r="T626" s="474"/>
      <c r="U626" s="103"/>
      <c r="V626" s="474"/>
      <c r="W626" s="111"/>
      <c r="X626" s="476"/>
      <c r="Y626" s="120"/>
      <c r="Z626" s="326"/>
      <c r="AA626" s="103"/>
      <c r="AB626" s="654"/>
      <c r="AC626" s="103"/>
      <c r="AD626" s="103"/>
      <c r="AE626" s="615"/>
    </row>
    <row r="627" spans="1:31" s="179" customFormat="1" x14ac:dyDescent="0.25">
      <c r="B627" s="493" t="s">
        <v>170</v>
      </c>
      <c r="C627" s="103"/>
      <c r="D627" s="193" t="s">
        <v>98</v>
      </c>
      <c r="E627" s="317"/>
      <c r="F627" s="321">
        <v>4</v>
      </c>
      <c r="G627" s="317"/>
      <c r="H627" s="193" t="s">
        <v>177</v>
      </c>
      <c r="I627" s="317"/>
      <c r="J627" s="321">
        <v>24</v>
      </c>
      <c r="K627" s="157"/>
      <c r="L627" s="193"/>
      <c r="M627" s="317"/>
      <c r="N627" s="322"/>
      <c r="O627" s="323"/>
      <c r="P627" s="321">
        <v>600</v>
      </c>
      <c r="Q627" s="322"/>
      <c r="R627" s="327">
        <f>P627/$V$6</f>
        <v>171.42857142857142</v>
      </c>
      <c r="S627" s="322"/>
      <c r="T627" s="319">
        <f>IF(N627=0,IF(J627=0,F627*P627,F627*J627*P627),F627*J627*N627*P627)</f>
        <v>57600</v>
      </c>
      <c r="U627" s="317"/>
      <c r="V627" s="319">
        <f>T627/$V$6</f>
        <v>16457.142857142859</v>
      </c>
      <c r="W627" s="320"/>
      <c r="X627" s="337">
        <f>V627/$V$3</f>
        <v>6.1251629189655304E-3</v>
      </c>
      <c r="Y627" s="185"/>
      <c r="Z627" s="326">
        <f>V627/$V$601</f>
        <v>8.8747964894805541E-3</v>
      </c>
      <c r="AA627" s="635">
        <v>0.75</v>
      </c>
      <c r="AB627" s="638">
        <f>+W627+V627*AA627</f>
        <v>12342.857142857145</v>
      </c>
      <c r="AC627" s="636">
        <f>+AD627/V627</f>
        <v>0.24999999999999994</v>
      </c>
      <c r="AD627" s="292">
        <f>+V627-AB627</f>
        <v>4114.2857142857138</v>
      </c>
      <c r="AE627" s="607"/>
    </row>
    <row r="628" spans="1:31" s="179" customFormat="1" x14ac:dyDescent="0.25">
      <c r="B628" s="493" t="s">
        <v>173</v>
      </c>
      <c r="C628" s="103"/>
      <c r="D628" s="193" t="s">
        <v>185</v>
      </c>
      <c r="E628" s="317"/>
      <c r="F628" s="321">
        <v>6</v>
      </c>
      <c r="G628" s="317"/>
      <c r="H628" s="193" t="s">
        <v>177</v>
      </c>
      <c r="I628" s="317"/>
      <c r="J628" s="321">
        <v>24</v>
      </c>
      <c r="K628" s="157"/>
      <c r="L628" s="193"/>
      <c r="M628" s="317"/>
      <c r="N628" s="322"/>
      <c r="O628" s="323"/>
      <c r="P628" s="321">
        <v>30</v>
      </c>
      <c r="Q628" s="322"/>
      <c r="R628" s="327">
        <f>P628/$V$6</f>
        <v>8.5714285714285712</v>
      </c>
      <c r="S628" s="322"/>
      <c r="T628" s="319">
        <f>IF(N628=0,IF(J628=0,F628*P628,F628*J628*P628),F628*J628*N628*P628)</f>
        <v>4320</v>
      </c>
      <c r="U628" s="317"/>
      <c r="V628" s="319">
        <f>T628/$V$6</f>
        <v>1234.2857142857142</v>
      </c>
      <c r="W628" s="320"/>
      <c r="X628" s="337">
        <f>V628/$V$3</f>
        <v>4.5938721892241471E-4</v>
      </c>
      <c r="Y628" s="185"/>
      <c r="Z628" s="326">
        <f>V628/$V$601</f>
        <v>6.656097367110414E-4</v>
      </c>
      <c r="AA628" s="635">
        <v>0.75</v>
      </c>
      <c r="AB628" s="638">
        <f>+W628+V628*AA628</f>
        <v>925.71428571428567</v>
      </c>
      <c r="AC628" s="636">
        <f>+AD628/V628</f>
        <v>0.25</v>
      </c>
      <c r="AD628" s="292">
        <f>+V628-AB628</f>
        <v>308.57142857142856</v>
      </c>
      <c r="AE628" s="613"/>
    </row>
    <row r="629" spans="1:31" s="179" customFormat="1" x14ac:dyDescent="0.25">
      <c r="B629" s="493" t="s">
        <v>186</v>
      </c>
      <c r="C629" s="103"/>
      <c r="D629" s="526" t="s">
        <v>98</v>
      </c>
      <c r="E629" s="103"/>
      <c r="F629" s="527">
        <v>4</v>
      </c>
      <c r="G629" s="103"/>
      <c r="H629" s="526" t="s">
        <v>187</v>
      </c>
      <c r="I629" s="103"/>
      <c r="J629" s="527">
        <v>2</v>
      </c>
      <c r="K629" s="524"/>
      <c r="L629" s="526"/>
      <c r="M629" s="103"/>
      <c r="N629" s="524"/>
      <c r="O629" s="525"/>
      <c r="P629" s="527">
        <v>11812.5</v>
      </c>
      <c r="Q629" s="524"/>
      <c r="R629" s="327">
        <f>P629/$V$6</f>
        <v>3375</v>
      </c>
      <c r="S629" s="524"/>
      <c r="T629" s="530">
        <f>IF(N629=0,IF(J629=0,F629*P629,F629*J629*P629),F629*J629*N629*P629)</f>
        <v>94500</v>
      </c>
      <c r="U629" s="103"/>
      <c r="V629" s="319">
        <f>T629/$V$6</f>
        <v>27000</v>
      </c>
      <c r="W629" s="111"/>
      <c r="X629" s="531">
        <f>V629/$V$3</f>
        <v>1.0049095413927824E-2</v>
      </c>
      <c r="Y629" s="120"/>
      <c r="Z629" s="326">
        <f>V629/$V$601</f>
        <v>1.4560212990554032E-2</v>
      </c>
      <c r="AA629" s="635">
        <v>0.75</v>
      </c>
      <c r="AB629" s="638">
        <f>+W629+V629*AA629</f>
        <v>20250</v>
      </c>
      <c r="AC629" s="636">
        <f>+AD629/V629</f>
        <v>0.25</v>
      </c>
      <c r="AD629" s="292">
        <f>+V629-AB629</f>
        <v>6750</v>
      </c>
      <c r="AE629" s="724"/>
    </row>
    <row r="630" spans="1:31" s="62" customFormat="1" x14ac:dyDescent="0.25">
      <c r="B630" s="177" t="s">
        <v>188</v>
      </c>
      <c r="C630" s="175"/>
      <c r="D630" s="528"/>
      <c r="E630" s="175"/>
      <c r="F630" s="524"/>
      <c r="G630" s="175"/>
      <c r="H630" s="528"/>
      <c r="I630" s="175"/>
      <c r="J630" s="524"/>
      <c r="K630" s="524"/>
      <c r="L630" s="525"/>
      <c r="M630" s="525"/>
      <c r="N630" s="525"/>
      <c r="O630" s="525"/>
      <c r="P630" s="524"/>
      <c r="Q630" s="524"/>
      <c r="R630" s="524"/>
      <c r="S630" s="524"/>
      <c r="T630" s="532">
        <f>SUM(T627:T629)</f>
        <v>156420</v>
      </c>
      <c r="U630" s="533"/>
      <c r="V630" s="532">
        <f>SUM(V627:V629)</f>
        <v>44691.428571428572</v>
      </c>
      <c r="W630" s="534"/>
      <c r="X630" s="535">
        <f>SUM(X627:X629)</f>
        <v>1.6633645551815769E-2</v>
      </c>
      <c r="Y630" s="536"/>
      <c r="Z630" s="537">
        <f>SUM(Z627:Z629)</f>
        <v>2.4100619216745629E-2</v>
      </c>
      <c r="AA630" s="175"/>
      <c r="AB630" s="532">
        <f>SUM(AB627:AB629)</f>
        <v>33518.571428571435</v>
      </c>
      <c r="AC630" s="175"/>
      <c r="AD630" s="532">
        <f>SUM(AD627:AD629)</f>
        <v>11172.857142857141</v>
      </c>
      <c r="AE630" s="616"/>
    </row>
    <row r="631" spans="1:31" s="179" customFormat="1" ht="15.75" thickBot="1" x14ac:dyDescent="0.3">
      <c r="B631" s="176" t="s">
        <v>190</v>
      </c>
      <c r="C631" s="317"/>
      <c r="D631" s="324"/>
      <c r="E631" s="317"/>
      <c r="F631" s="322"/>
      <c r="G631" s="317"/>
      <c r="H631" s="324"/>
      <c r="I631" s="317"/>
      <c r="J631" s="322"/>
      <c r="K631" s="157"/>
      <c r="L631" s="323"/>
      <c r="M631" s="323"/>
      <c r="N631" s="323"/>
      <c r="O631" s="323"/>
      <c r="P631" s="322"/>
      <c r="Q631" s="322"/>
      <c r="R631" s="322"/>
      <c r="S631" s="322"/>
      <c r="T631" s="133">
        <f>T623+T630</f>
        <v>820470</v>
      </c>
      <c r="U631" s="317"/>
      <c r="V631" s="133">
        <f>V623+V630</f>
        <v>234420.00000000003</v>
      </c>
      <c r="W631" s="109"/>
      <c r="X631" s="338">
        <f>X623+X630</f>
        <v>8.7229338381913796E-2</v>
      </c>
      <c r="Y631" s="119"/>
      <c r="Z631" s="243">
        <f>Z623+Z630</f>
        <v>0.12641500478687692</v>
      </c>
      <c r="AA631" s="317"/>
      <c r="AB631" s="133">
        <f>AB623+AB630</f>
        <v>177218.57142857148</v>
      </c>
      <c r="AC631" s="317"/>
      <c r="AD631" s="133">
        <f>AD623+AD630</f>
        <v>57201.428571428565</v>
      </c>
      <c r="AE631" s="607"/>
    </row>
    <row r="633" spans="1:31" s="519" customFormat="1" ht="24" customHeight="1" x14ac:dyDescent="0.25">
      <c r="B633" s="522" t="s">
        <v>566</v>
      </c>
      <c r="X633" s="520"/>
      <c r="AB633" s="656"/>
      <c r="AE633" s="598"/>
    </row>
    <row r="634" spans="1:31" x14ac:dyDescent="0.25">
      <c r="B634" t="s">
        <v>178</v>
      </c>
      <c r="D634" s="193" t="s">
        <v>364</v>
      </c>
      <c r="E634" s="317"/>
      <c r="F634" s="321">
        <v>3</v>
      </c>
      <c r="G634" s="317"/>
      <c r="H634" s="322" t="s">
        <v>363</v>
      </c>
      <c r="I634" s="317"/>
      <c r="J634" s="669"/>
      <c r="K634" s="157"/>
      <c r="L634" s="193"/>
      <c r="M634" s="317"/>
      <c r="N634" s="322"/>
      <c r="O634" s="323"/>
      <c r="P634" s="321">
        <v>24000</v>
      </c>
      <c r="Q634" s="322"/>
      <c r="R634" s="327">
        <f t="shared" ref="R634:R637" si="495">P634/$V$6</f>
        <v>6857.1428571428569</v>
      </c>
      <c r="S634" s="322"/>
      <c r="T634" s="319">
        <f t="shared" ref="T634:T637" si="496">IF(N634=0,IF(J634=0,F634*P634,F634*J634*P634),F634*J634*N634*P634)</f>
        <v>72000</v>
      </c>
      <c r="U634" s="317"/>
      <c r="V634" s="319">
        <f>T634/$V$6</f>
        <v>20571.428571428572</v>
      </c>
      <c r="W634" s="320"/>
      <c r="X634" s="337">
        <f t="shared" ref="X634:X638" si="497">V634/$V$3</f>
        <v>7.6564536487069134E-3</v>
      </c>
      <c r="Y634" s="185"/>
      <c r="Z634" s="326">
        <f t="shared" ref="Z634:Z638" si="498">V634/$V$601</f>
        <v>1.1093495611850692E-2</v>
      </c>
      <c r="AA634" s="635">
        <v>0.3</v>
      </c>
      <c r="AB634" s="638">
        <f>+W634+V634*AA634</f>
        <v>6171.4285714285716</v>
      </c>
      <c r="AC634" s="636">
        <f t="shared" ref="AC634:AC637" si="499">+AD634/V634</f>
        <v>0.7</v>
      </c>
      <c r="AD634" s="292">
        <f>+V634-AB634</f>
        <v>14400</v>
      </c>
    </row>
    <row r="635" spans="1:31" x14ac:dyDescent="0.25">
      <c r="A635" s="612" t="s">
        <v>575</v>
      </c>
      <c r="B635" t="s">
        <v>365</v>
      </c>
      <c r="D635" s="193" t="s">
        <v>368</v>
      </c>
      <c r="E635" s="317"/>
      <c r="F635" s="321">
        <v>25</v>
      </c>
      <c r="G635" s="317"/>
      <c r="H635" s="193" t="s">
        <v>369</v>
      </c>
      <c r="I635" s="317"/>
      <c r="J635" s="669"/>
      <c r="K635" s="157"/>
      <c r="L635" s="193"/>
      <c r="M635" s="317"/>
      <c r="N635" s="322"/>
      <c r="O635" s="323"/>
      <c r="P635" s="321">
        <f>150*12</f>
        <v>1800</v>
      </c>
      <c r="Q635" s="322"/>
      <c r="R635" s="327">
        <f t="shared" si="495"/>
        <v>514.28571428571433</v>
      </c>
      <c r="S635" s="322"/>
      <c r="T635" s="319">
        <f t="shared" si="496"/>
        <v>45000</v>
      </c>
      <c r="U635" s="317"/>
      <c r="V635" s="319">
        <f>T635/$V$6</f>
        <v>12857.142857142857</v>
      </c>
      <c r="W635" s="320"/>
      <c r="X635" s="337">
        <f t="shared" si="497"/>
        <v>4.7852835304418202E-3</v>
      </c>
      <c r="Y635" s="185"/>
      <c r="Z635" s="326">
        <f t="shared" si="498"/>
        <v>6.9334347574066821E-3</v>
      </c>
      <c r="AA635" s="635">
        <v>0</v>
      </c>
      <c r="AB635" s="638">
        <f>+W635+V635*AA635</f>
        <v>0</v>
      </c>
      <c r="AC635" s="636">
        <f t="shared" si="499"/>
        <v>1</v>
      </c>
      <c r="AD635" s="292">
        <f>+V635-AB635</f>
        <v>12857.142857142857</v>
      </c>
    </row>
    <row r="636" spans="1:31" x14ac:dyDescent="0.25">
      <c r="B636" t="s">
        <v>180</v>
      </c>
      <c r="D636" s="193" t="s">
        <v>366</v>
      </c>
      <c r="E636" s="317"/>
      <c r="F636" s="321">
        <v>10</v>
      </c>
      <c r="G636" s="317"/>
      <c r="H636" s="193" t="s">
        <v>367</v>
      </c>
      <c r="I636" s="317"/>
      <c r="J636" s="669"/>
      <c r="K636" s="157"/>
      <c r="L636" s="193"/>
      <c r="M636" s="317"/>
      <c r="N636" s="322"/>
      <c r="O636" s="323"/>
      <c r="P636" s="321">
        <v>350</v>
      </c>
      <c r="Q636" s="322"/>
      <c r="R636" s="327">
        <f t="shared" si="495"/>
        <v>100</v>
      </c>
      <c r="S636" s="322"/>
      <c r="T636" s="319">
        <f t="shared" si="496"/>
        <v>3500</v>
      </c>
      <c r="U636" s="317"/>
      <c r="V636" s="319">
        <f>T636/$V$6</f>
        <v>1000</v>
      </c>
      <c r="W636" s="320"/>
      <c r="X636" s="337">
        <f t="shared" si="497"/>
        <v>3.7218871903436381E-4</v>
      </c>
      <c r="Y636" s="185"/>
      <c r="Z636" s="326">
        <f t="shared" si="498"/>
        <v>5.3926714779829754E-4</v>
      </c>
      <c r="AA636" s="635">
        <v>1</v>
      </c>
      <c r="AB636" s="638">
        <f>+W636+V636*AA636</f>
        <v>1000</v>
      </c>
      <c r="AC636" s="636">
        <f t="shared" si="499"/>
        <v>0</v>
      </c>
      <c r="AD636" s="292">
        <f>+V636-AB636</f>
        <v>0</v>
      </c>
    </row>
    <row r="637" spans="1:31" s="179" customFormat="1" x14ac:dyDescent="0.25">
      <c r="B637" s="179" t="s">
        <v>184</v>
      </c>
      <c r="D637" s="193" t="s">
        <v>191</v>
      </c>
      <c r="E637" s="317"/>
      <c r="F637" s="321">
        <v>3</v>
      </c>
      <c r="G637" s="317"/>
      <c r="H637" s="193" t="s">
        <v>177</v>
      </c>
      <c r="I637" s="317"/>
      <c r="J637" s="669">
        <v>36</v>
      </c>
      <c r="K637" s="322"/>
      <c r="L637" s="323"/>
      <c r="M637" s="323"/>
      <c r="N637" s="323"/>
      <c r="O637" s="323"/>
      <c r="P637" s="321">
        <v>30</v>
      </c>
      <c r="Q637" s="322"/>
      <c r="R637" s="327">
        <f t="shared" si="495"/>
        <v>8.5714285714285712</v>
      </c>
      <c r="S637" s="322"/>
      <c r="T637" s="319">
        <f t="shared" si="496"/>
        <v>3240</v>
      </c>
      <c r="U637" s="317"/>
      <c r="V637" s="319">
        <f>T637/$V$6</f>
        <v>925.71428571428567</v>
      </c>
      <c r="W637" s="320"/>
      <c r="X637" s="337">
        <f t="shared" si="497"/>
        <v>3.4454041419181106E-4</v>
      </c>
      <c r="Y637" s="185"/>
      <c r="Z637" s="326">
        <f t="shared" si="498"/>
        <v>4.9920730253328108E-4</v>
      </c>
      <c r="AA637" s="635">
        <v>1</v>
      </c>
      <c r="AB637" s="638">
        <f>+W637+V637*AA637</f>
        <v>925.71428571428567</v>
      </c>
      <c r="AC637" s="636">
        <f t="shared" si="499"/>
        <v>0</v>
      </c>
      <c r="AD637" s="292">
        <f>+V637-AB637</f>
        <v>0</v>
      </c>
      <c r="AE637" s="612"/>
    </row>
    <row r="638" spans="1:31" s="179" customFormat="1" ht="15.75" thickBot="1" x14ac:dyDescent="0.3">
      <c r="B638" s="176" t="s">
        <v>192</v>
      </c>
      <c r="C638" s="317"/>
      <c r="D638" s="324"/>
      <c r="E638" s="317"/>
      <c r="F638" s="322"/>
      <c r="G638" s="317"/>
      <c r="H638" s="324"/>
      <c r="I638" s="317"/>
      <c r="J638" s="322"/>
      <c r="K638" s="157"/>
      <c r="L638" s="323"/>
      <c r="M638" s="323"/>
      <c r="N638" s="323"/>
      <c r="O638" s="323"/>
      <c r="P638" s="322"/>
      <c r="Q638" s="322"/>
      <c r="R638" s="322"/>
      <c r="S638" s="322"/>
      <c r="T638" s="133">
        <f>SUM(T634:T637)</f>
        <v>123740</v>
      </c>
      <c r="U638" s="317"/>
      <c r="V638" s="133">
        <f>SUM(V634:V637)</f>
        <v>35354.28571428571</v>
      </c>
      <c r="W638" s="109"/>
      <c r="X638" s="338">
        <f t="shared" si="497"/>
        <v>1.3158466312374906E-2</v>
      </c>
      <c r="Y638" s="119"/>
      <c r="Z638" s="243">
        <f t="shared" si="498"/>
        <v>1.906540481958895E-2</v>
      </c>
      <c r="AA638" s="317"/>
      <c r="AB638" s="133">
        <f>SUM(AB634:AB637)</f>
        <v>8097.1428571428569</v>
      </c>
      <c r="AC638" s="317"/>
      <c r="AD638" s="133">
        <f>SUM(AD634:AD637)</f>
        <v>27257.142857142855</v>
      </c>
      <c r="AE638" s="607"/>
    </row>
    <row r="639" spans="1:31" x14ac:dyDescent="0.25">
      <c r="D639" s="540" t="s">
        <v>135</v>
      </c>
    </row>
    <row r="640" spans="1:31" s="519" customFormat="1" ht="24" customHeight="1" x14ac:dyDescent="0.25">
      <c r="B640" s="518" t="s">
        <v>567</v>
      </c>
      <c r="X640" s="520"/>
      <c r="AB640" s="656"/>
      <c r="AE640" s="598"/>
    </row>
    <row r="641" spans="2:31" s="491" customFormat="1" ht="24" customHeight="1" x14ac:dyDescent="0.25">
      <c r="B641" s="491" t="s">
        <v>243</v>
      </c>
      <c r="D641" s="479" t="s">
        <v>252</v>
      </c>
      <c r="E641" s="480"/>
      <c r="F641" s="481">
        <v>1</v>
      </c>
      <c r="G641" s="480"/>
      <c r="H641" s="479" t="s">
        <v>336</v>
      </c>
      <c r="I641" s="480"/>
      <c r="J641" s="481">
        <f>2*4*3</f>
        <v>24</v>
      </c>
      <c r="K641" s="737"/>
      <c r="L641" s="479"/>
      <c r="M641" s="480"/>
      <c r="N641" s="483"/>
      <c r="O641" s="478"/>
      <c r="P641" s="481">
        <f>+'Staff Detail'!B44</f>
        <v>1179.4520547945203</v>
      </c>
      <c r="Q641" s="483"/>
      <c r="R641" s="484">
        <f>P641/$V$6</f>
        <v>336.98630136986293</v>
      </c>
      <c r="S641" s="483"/>
      <c r="T641" s="319">
        <f t="shared" ref="T641:T645" si="500">IF(N641=0,IF(J641=0,F641*P641,F641*J641*P641),F641*J641*N641*P641)</f>
        <v>28306.849315068488</v>
      </c>
      <c r="U641" s="480"/>
      <c r="V641" s="485">
        <f>T641/$V$6</f>
        <v>8087.6712328767107</v>
      </c>
      <c r="W641" s="486"/>
      <c r="X641" s="487">
        <f>V641/$V$3</f>
        <v>3.0101399961354569E-3</v>
      </c>
      <c r="Y641" s="738"/>
      <c r="Z641" s="489">
        <f t="shared" ref="Z641:Z646" si="501">V641/$V$601</f>
        <v>4.3614153980837643E-3</v>
      </c>
      <c r="AA641" s="660">
        <v>1</v>
      </c>
      <c r="AB641" s="661">
        <f>+W641+V641*AA641</f>
        <v>8087.6712328767107</v>
      </c>
      <c r="AC641" s="662">
        <f>+AD641/V641</f>
        <v>0</v>
      </c>
      <c r="AD641" s="483">
        <f>+V641-AB641</f>
        <v>0</v>
      </c>
    </row>
    <row r="642" spans="2:31" s="491" customFormat="1" ht="24" customHeight="1" x14ac:dyDescent="0.25">
      <c r="B642" s="491" t="s">
        <v>511</v>
      </c>
      <c r="D642" s="479" t="s">
        <v>252</v>
      </c>
      <c r="E642" s="480"/>
      <c r="F642" s="481">
        <v>1</v>
      </c>
      <c r="G642" s="480"/>
      <c r="H642" s="479" t="s">
        <v>336</v>
      </c>
      <c r="I642" s="480"/>
      <c r="J642" s="481">
        <v>6</v>
      </c>
      <c r="K642" s="737"/>
      <c r="L642" s="479"/>
      <c r="M642" s="480"/>
      <c r="N642" s="483"/>
      <c r="O642" s="478"/>
      <c r="P642" s="481">
        <f>+'Staff Detail'!C39</f>
        <v>68.493150684931507</v>
      </c>
      <c r="Q642" s="483"/>
      <c r="R642" s="484">
        <f>P642/$V$6</f>
        <v>19.569471624266146</v>
      </c>
      <c r="S642" s="483"/>
      <c r="T642" s="319">
        <f t="shared" si="500"/>
        <v>410.95890410958907</v>
      </c>
      <c r="U642" s="480"/>
      <c r="V642" s="485">
        <f>T642/$V$6</f>
        <v>117.41682974559687</v>
      </c>
      <c r="W642" s="486"/>
      <c r="X642" s="487">
        <f>V642/$V$3</f>
        <v>4.3701219456089688E-5</v>
      </c>
      <c r="Y642" s="738"/>
      <c r="Z642" s="489">
        <f t="shared" si="501"/>
        <v>6.3319038880426325E-5</v>
      </c>
      <c r="AA642" s="660">
        <v>1</v>
      </c>
      <c r="AB642" s="661">
        <f>+W642+V642*AA642</f>
        <v>117.41682974559687</v>
      </c>
      <c r="AC642" s="662">
        <f>+AD642/V642</f>
        <v>0</v>
      </c>
      <c r="AD642" s="483">
        <f>+V642-AB642</f>
        <v>0</v>
      </c>
    </row>
    <row r="643" spans="2:31" s="491" customFormat="1" ht="24" customHeight="1" x14ac:dyDescent="0.25">
      <c r="B643" s="491" t="s">
        <v>371</v>
      </c>
      <c r="D643" s="479" t="s">
        <v>261</v>
      </c>
      <c r="E643" s="480"/>
      <c r="F643" s="481">
        <v>3</v>
      </c>
      <c r="G643" s="480"/>
      <c r="H643" s="479" t="s">
        <v>360</v>
      </c>
      <c r="I643" s="480"/>
      <c r="J643" s="481">
        <v>3</v>
      </c>
      <c r="K643" s="737"/>
      <c r="L643" s="479" t="s">
        <v>263</v>
      </c>
      <c r="M643" s="480"/>
      <c r="N643" s="483"/>
      <c r="O643" s="478"/>
      <c r="P643" s="481">
        <v>2800</v>
      </c>
      <c r="Q643" s="483"/>
      <c r="R643" s="484">
        <f>P643/$V$6</f>
        <v>800</v>
      </c>
      <c r="S643" s="483"/>
      <c r="T643" s="319">
        <f t="shared" si="500"/>
        <v>25200</v>
      </c>
      <c r="U643" s="480"/>
      <c r="V643" s="485">
        <f>T643/$V$6</f>
        <v>7200</v>
      </c>
      <c r="W643" s="486"/>
      <c r="X643" s="487">
        <f>V643/$V$3</f>
        <v>2.6797587770474194E-3</v>
      </c>
      <c r="Y643" s="738"/>
      <c r="Z643" s="489">
        <f t="shared" si="501"/>
        <v>3.8827234641477418E-3</v>
      </c>
      <c r="AA643" s="660">
        <v>0.5</v>
      </c>
      <c r="AB643" s="661">
        <f>+W643+V643*AA643</f>
        <v>3600</v>
      </c>
      <c r="AC643" s="662">
        <f>+AD643/V643</f>
        <v>0.5</v>
      </c>
      <c r="AD643" s="483">
        <f>+V643-AB643</f>
        <v>3600</v>
      </c>
    </row>
    <row r="644" spans="2:31" s="491" customFormat="1" ht="24" customHeight="1" x14ac:dyDescent="0.25">
      <c r="B644" s="491" t="s">
        <v>377</v>
      </c>
      <c r="D644" s="479" t="s">
        <v>261</v>
      </c>
      <c r="E644" s="480"/>
      <c r="F644" s="481">
        <v>2</v>
      </c>
      <c r="G644" s="480"/>
      <c r="H644" s="479" t="s">
        <v>360</v>
      </c>
      <c r="I644" s="480"/>
      <c r="J644" s="481">
        <v>3</v>
      </c>
      <c r="K644" s="737"/>
      <c r="L644" s="479" t="s">
        <v>263</v>
      </c>
      <c r="M644" s="480"/>
      <c r="N644" s="483"/>
      <c r="O644" s="478"/>
      <c r="P644" s="481">
        <v>750</v>
      </c>
      <c r="Q644" s="483"/>
      <c r="R644" s="484">
        <f>P644/$V$6</f>
        <v>214.28571428571428</v>
      </c>
      <c r="S644" s="483"/>
      <c r="T644" s="319">
        <f t="shared" si="500"/>
        <v>4500</v>
      </c>
      <c r="U644" s="480"/>
      <c r="V644" s="485">
        <f>T644/$V$6</f>
        <v>1285.7142857142858</v>
      </c>
      <c r="W644" s="486"/>
      <c r="X644" s="487">
        <f>V644/$V$3</f>
        <v>4.7852835304418209E-4</v>
      </c>
      <c r="Y644" s="738"/>
      <c r="Z644" s="489">
        <f t="shared" si="501"/>
        <v>6.9334347574066823E-4</v>
      </c>
      <c r="AA644" s="660">
        <v>0.5</v>
      </c>
      <c r="AB644" s="661">
        <f>+W644+V644*AA644</f>
        <v>642.85714285714289</v>
      </c>
      <c r="AC644" s="662">
        <f>+AD644/V644</f>
        <v>0.5</v>
      </c>
      <c r="AD644" s="483">
        <f>+V644-AB644</f>
        <v>642.85714285714289</v>
      </c>
    </row>
    <row r="645" spans="2:31" s="491" customFormat="1" ht="24" customHeight="1" x14ac:dyDescent="0.25">
      <c r="B645" s="491" t="s">
        <v>502</v>
      </c>
      <c r="D645" s="479" t="s">
        <v>503</v>
      </c>
      <c r="E645" s="480"/>
      <c r="F645" s="481">
        <v>2</v>
      </c>
      <c r="G645" s="480"/>
      <c r="H645" s="479" t="s">
        <v>336</v>
      </c>
      <c r="I645" s="480"/>
      <c r="J645" s="481">
        <f>10*3</f>
        <v>30</v>
      </c>
      <c r="K645" s="737"/>
      <c r="L645" s="479"/>
      <c r="M645" s="480"/>
      <c r="N645" s="483"/>
      <c r="O645" s="478"/>
      <c r="P645" s="481">
        <f>+'Staff Detail'!B48</f>
        <v>850</v>
      </c>
      <c r="Q645" s="483"/>
      <c r="R645" s="484">
        <f>P645/$V$6</f>
        <v>242.85714285714286</v>
      </c>
      <c r="S645" s="483"/>
      <c r="T645" s="319">
        <f t="shared" si="500"/>
        <v>51000</v>
      </c>
      <c r="U645" s="480"/>
      <c r="V645" s="485">
        <f>T645/$V$6</f>
        <v>14571.428571428571</v>
      </c>
      <c r="W645" s="877"/>
      <c r="X645" s="487">
        <f>V645/$V$3</f>
        <v>5.4233213345007292E-3</v>
      </c>
      <c r="Y645" s="878"/>
      <c r="Z645" s="489">
        <f t="shared" si="501"/>
        <v>7.8578927250609054E-3</v>
      </c>
      <c r="AA645" s="660">
        <v>0.75</v>
      </c>
      <c r="AB645" s="661">
        <f>+W645+V645*AA645</f>
        <v>10928.571428571428</v>
      </c>
      <c r="AC645" s="662">
        <f>+AD645/V645</f>
        <v>0.25000000000000006</v>
      </c>
      <c r="AD645" s="483">
        <f>+V645-AB645</f>
        <v>3642.8571428571431</v>
      </c>
    </row>
    <row r="646" spans="2:31" s="179" customFormat="1" ht="15.75" thickBot="1" x14ac:dyDescent="0.3">
      <c r="B646" s="176" t="s">
        <v>193</v>
      </c>
      <c r="C646" s="317"/>
      <c r="D646" s="324"/>
      <c r="E646" s="317"/>
      <c r="F646" s="322"/>
      <c r="G646" s="317"/>
      <c r="H646" s="324"/>
      <c r="I646" s="317"/>
      <c r="J646" s="322"/>
      <c r="K646" s="157"/>
      <c r="L646" s="323"/>
      <c r="M646" s="323"/>
      <c r="N646" s="323"/>
      <c r="O646" s="323"/>
      <c r="P646" s="322"/>
      <c r="Q646" s="322"/>
      <c r="R646" s="322"/>
      <c r="S646" s="322"/>
      <c r="T646" s="133">
        <f>SUM(T641:T645)</f>
        <v>109417.80821917808</v>
      </c>
      <c r="U646" s="317"/>
      <c r="V646" s="133">
        <f>SUM(V641:V645)</f>
        <v>31262.230919765163</v>
      </c>
      <c r="W646" s="109"/>
      <c r="X646" s="879">
        <f>SUM(X641:X645)</f>
        <v>1.1635449680183877E-2</v>
      </c>
      <c r="Y646" s="119"/>
      <c r="Z646" s="243">
        <f t="shared" si="501"/>
        <v>1.6858694101913506E-2</v>
      </c>
      <c r="AA646" s="317"/>
      <c r="AB646" s="133">
        <f>SUM(AB641:AB645)</f>
        <v>23376.51663405088</v>
      </c>
      <c r="AC646" s="317"/>
      <c r="AD646" s="133">
        <f>SUM(AD641:AD645)</f>
        <v>7885.7142857142862</v>
      </c>
      <c r="AE646" s="607"/>
    </row>
    <row r="647" spans="2:31" s="179" customFormat="1" x14ac:dyDescent="0.25">
      <c r="B647" s="6"/>
      <c r="H647" s="523" t="s">
        <v>135</v>
      </c>
      <c r="X647" s="329"/>
      <c r="AB647" s="639"/>
      <c r="AE647" s="612"/>
    </row>
    <row r="648" spans="2:31" s="179" customFormat="1" x14ac:dyDescent="0.25">
      <c r="B648" s="6"/>
      <c r="X648" s="329"/>
      <c r="AB648" s="639"/>
      <c r="AE648" s="612"/>
    </row>
  </sheetData>
  <phoneticPr fontId="27" type="noConversion"/>
  <pageMargins left="0.7" right="0.7" top="0.75" bottom="0.75" header="0.3" footer="0.3"/>
  <pageSetup paperSize="9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8"/>
  <sheetViews>
    <sheetView zoomScaleNormal="100" zoomScalePageLayoutView="150" workbookViewId="0"/>
  </sheetViews>
  <sheetFormatPr defaultColWidth="9.140625" defaultRowHeight="16.350000000000001" customHeight="1" x14ac:dyDescent="0.25"/>
  <cols>
    <col min="1" max="1" width="10.28515625" style="451" customWidth="1"/>
    <col min="2" max="2" width="59.140625" style="4" bestFit="1" customWidth="1"/>
    <col min="3" max="3" width="0.7109375" style="59" customWidth="1"/>
    <col min="4" max="4" width="18.7109375" style="59" bestFit="1" customWidth="1"/>
    <col min="5" max="5" width="0.7109375" style="59" customWidth="1"/>
    <col min="6" max="6" width="12" style="633" customWidth="1"/>
    <col min="7" max="7" width="0.7109375" style="59" customWidth="1"/>
    <col min="8" max="8" width="12" style="59" customWidth="1"/>
    <col min="9" max="9" width="0.7109375" style="59" customWidth="1"/>
    <col min="10" max="10" width="12" style="59" customWidth="1"/>
    <col min="11" max="11" width="0.7109375" style="59" customWidth="1"/>
    <col min="12" max="12" width="5.85546875" style="59" bestFit="1" customWidth="1"/>
    <col min="13" max="13" width="0.7109375" style="59" customWidth="1"/>
    <col min="14" max="14" width="12" style="5" hidden="1" customWidth="1"/>
    <col min="15" max="15" width="12" style="2" hidden="1" customWidth="1"/>
    <col min="16" max="16" width="0.7109375" style="59" hidden="1" customWidth="1"/>
    <col min="17" max="17" width="12" style="5" hidden="1" customWidth="1"/>
    <col min="18" max="18" width="0.7109375" style="59" hidden="1" customWidth="1"/>
    <col min="19" max="19" width="12" style="5" hidden="1" customWidth="1"/>
    <col min="20" max="20" width="0.7109375" style="59" hidden="1" customWidth="1"/>
    <col min="21" max="21" width="12" style="59" hidden="1" customWidth="1"/>
    <col min="22" max="22" width="0.7109375" style="59" hidden="1" customWidth="1"/>
    <col min="23" max="23" width="12" style="5" hidden="1" customWidth="1"/>
    <col min="24" max="24" width="0.7109375" style="59" hidden="1" customWidth="1"/>
    <col min="25" max="25" width="12" style="49" hidden="1" customWidth="1"/>
    <col min="26" max="26" width="0.7109375" style="59" hidden="1" customWidth="1"/>
    <col min="27" max="27" width="12" style="59" hidden="1" customWidth="1"/>
    <col min="28" max="28" width="0.7109375" style="59" hidden="1" customWidth="1"/>
    <col min="29" max="29" width="12" style="59" hidden="1" customWidth="1"/>
    <col min="30" max="30" width="0.7109375" style="59" hidden="1" customWidth="1"/>
    <col min="31" max="31" width="12" style="59" hidden="1" customWidth="1"/>
    <col min="32" max="32" width="0.7109375" style="59" hidden="1" customWidth="1"/>
    <col min="33" max="33" width="5.7109375" style="179" customWidth="1"/>
    <col min="34" max="16384" width="9.140625" style="59"/>
  </cols>
  <sheetData>
    <row r="1" spans="1:32" s="62" customFormat="1" ht="16.350000000000001" customHeight="1" x14ac:dyDescent="0.25">
      <c r="A1" s="764"/>
      <c r="B1" s="763"/>
      <c r="F1" s="619"/>
      <c r="N1" s="44"/>
      <c r="O1" s="75"/>
      <c r="Q1" s="44"/>
      <c r="S1" s="44"/>
      <c r="W1" s="44"/>
      <c r="Y1" s="48"/>
    </row>
    <row r="2" spans="1:32" s="62" customFormat="1" ht="16.350000000000001" customHeight="1" x14ac:dyDescent="0.25">
      <c r="A2" s="452"/>
      <c r="B2" s="72" t="s">
        <v>230</v>
      </c>
      <c r="C2" s="71"/>
      <c r="D2" s="71"/>
      <c r="E2" s="71"/>
      <c r="F2" s="620"/>
      <c r="G2" s="71"/>
      <c r="H2" s="71"/>
      <c r="I2" s="71"/>
      <c r="J2" s="71"/>
      <c r="K2" s="71"/>
      <c r="L2" s="71"/>
      <c r="M2" s="71"/>
      <c r="N2" s="73"/>
      <c r="O2" s="75"/>
      <c r="P2" s="71"/>
      <c r="Q2" s="73"/>
      <c r="R2" s="71"/>
      <c r="S2" s="73"/>
      <c r="T2" s="71"/>
      <c r="U2" s="71"/>
      <c r="V2" s="71"/>
      <c r="W2" s="73"/>
      <c r="X2" s="71"/>
      <c r="Y2" s="74"/>
      <c r="Z2" s="71"/>
      <c r="AA2" s="71"/>
      <c r="AB2" s="71"/>
      <c r="AC2" s="71"/>
      <c r="AD2" s="71"/>
      <c r="AE2" s="71"/>
      <c r="AF2" s="16"/>
    </row>
    <row r="3" spans="1:32" s="62" customFormat="1" ht="16.350000000000001" customHeight="1" x14ac:dyDescent="0.25">
      <c r="A3" s="452"/>
      <c r="B3" s="20"/>
      <c r="F3" s="619"/>
      <c r="N3" s="44"/>
      <c r="O3" s="75"/>
      <c r="Q3" s="44"/>
      <c r="S3" s="44"/>
      <c r="W3" s="44"/>
      <c r="Y3" s="48"/>
    </row>
    <row r="4" spans="1:32" s="62" customFormat="1" ht="16.350000000000001" customHeight="1" thickBot="1" x14ac:dyDescent="0.3">
      <c r="A4" s="452"/>
      <c r="B4" s="60"/>
      <c r="F4" s="619"/>
      <c r="I4" s="362"/>
      <c r="O4" s="16"/>
      <c r="Y4" s="48"/>
    </row>
    <row r="5" spans="1:32" s="62" customFormat="1" ht="16.350000000000001" customHeight="1" thickBot="1" x14ac:dyDescent="0.3">
      <c r="A5" s="452"/>
      <c r="B5" s="361" t="s">
        <v>231</v>
      </c>
      <c r="D5" s="361" t="s">
        <v>519</v>
      </c>
      <c r="F5" s="619"/>
      <c r="H5" s="43">
        <v>3.5</v>
      </c>
      <c r="I5" s="362"/>
      <c r="N5" s="919" t="s">
        <v>126</v>
      </c>
      <c r="Q5" s="43">
        <v>3.5</v>
      </c>
      <c r="R5" s="62">
        <v>3.5</v>
      </c>
      <c r="S5" s="62" t="s">
        <v>28</v>
      </c>
    </row>
    <row r="6" spans="1:32" s="62" customFormat="1" ht="16.350000000000001" customHeight="1" thickBot="1" x14ac:dyDescent="0.3">
      <c r="A6" s="452"/>
      <c r="B6" s="60"/>
      <c r="D6" s="361" t="s">
        <v>520</v>
      </c>
      <c r="F6" s="619"/>
      <c r="H6" s="43">
        <v>3.5</v>
      </c>
      <c r="I6" s="362"/>
      <c r="N6" s="919" t="s">
        <v>127</v>
      </c>
      <c r="Q6" s="43">
        <v>3.5</v>
      </c>
      <c r="S6" s="62" t="s">
        <v>83</v>
      </c>
    </row>
    <row r="7" spans="1:32" s="62" customFormat="1" ht="16.350000000000001" customHeight="1" thickBot="1" x14ac:dyDescent="0.3">
      <c r="A7" s="452"/>
      <c r="B7" s="60"/>
      <c r="F7" s="619"/>
      <c r="N7" s="763"/>
      <c r="O7" s="16"/>
      <c r="Y7" s="48"/>
    </row>
    <row r="8" spans="1:32" s="62" customFormat="1" ht="16.350000000000001" customHeight="1" thickBot="1" x14ac:dyDescent="0.3">
      <c r="A8" s="452"/>
      <c r="B8" s="60" t="s">
        <v>84</v>
      </c>
      <c r="D8" s="200" t="s">
        <v>29</v>
      </c>
      <c r="E8" s="69"/>
      <c r="F8" s="619"/>
      <c r="H8" s="467">
        <f>+'Ghana-CostDriverInput'!V3</f>
        <v>2686809</v>
      </c>
      <c r="I8" s="362"/>
      <c r="N8" s="920" t="s">
        <v>30</v>
      </c>
      <c r="Q8" s="63"/>
      <c r="Y8" s="48"/>
    </row>
    <row r="9" spans="1:32" s="62" customFormat="1" ht="16.350000000000001" customHeight="1" x14ac:dyDescent="0.25">
      <c r="A9" s="452"/>
      <c r="B9" s="60"/>
      <c r="D9" s="361"/>
      <c r="F9" s="619"/>
      <c r="H9" s="199"/>
      <c r="I9" s="362"/>
      <c r="N9" s="919" t="s">
        <v>31</v>
      </c>
      <c r="Q9" s="201">
        <f>(Q8-H8)/H8</f>
        <v>-1</v>
      </c>
      <c r="Y9" s="48"/>
    </row>
    <row r="10" spans="1:32" s="62" customFormat="1" ht="16.350000000000001" customHeight="1" x14ac:dyDescent="0.25">
      <c r="A10" s="452"/>
      <c r="B10" s="60"/>
      <c r="D10" s="361"/>
      <c r="F10" s="619"/>
      <c r="H10" s="199"/>
      <c r="I10" s="362"/>
      <c r="N10" s="920" t="s">
        <v>24</v>
      </c>
      <c r="Q10" s="198">
        <f>Q8-H8</f>
        <v>-2686809</v>
      </c>
      <c r="Y10" s="48"/>
    </row>
    <row r="11" spans="1:32" s="59" customFormat="1" ht="16.350000000000001" customHeight="1" x14ac:dyDescent="0.25">
      <c r="A11" s="451"/>
      <c r="B11" s="21"/>
      <c r="D11" s="42"/>
      <c r="E11" s="42"/>
      <c r="F11" s="621"/>
      <c r="G11" s="42"/>
      <c r="H11" s="42"/>
      <c r="I11" s="42"/>
      <c r="J11" s="42"/>
      <c r="K11" s="11"/>
      <c r="L11" s="11"/>
      <c r="O11" s="6"/>
      <c r="T11" s="5"/>
      <c r="W11" s="7"/>
      <c r="X11" s="41"/>
      <c r="Y11" s="7"/>
      <c r="Z11" s="53"/>
      <c r="AA11" s="7"/>
      <c r="AB11" s="7"/>
      <c r="AC11" s="7"/>
      <c r="AD11" s="7"/>
      <c r="AE11" s="7"/>
    </row>
    <row r="12" spans="1:32" s="59" customFormat="1" ht="16.350000000000001" customHeight="1" x14ac:dyDescent="0.25">
      <c r="A12" s="451"/>
      <c r="B12" s="21"/>
      <c r="D12" s="969" t="s">
        <v>14</v>
      </c>
      <c r="E12" s="970"/>
      <c r="F12" s="970"/>
      <c r="G12" s="970"/>
      <c r="H12" s="970"/>
      <c r="I12" s="970"/>
      <c r="J12" s="971"/>
      <c r="K12" s="11"/>
      <c r="L12" s="11"/>
      <c r="N12" s="969" t="s">
        <v>81</v>
      </c>
      <c r="O12" s="970"/>
      <c r="P12" s="970"/>
      <c r="Q12" s="970"/>
      <c r="R12" s="970"/>
      <c r="S12" s="970"/>
      <c r="T12" s="970"/>
      <c r="U12" s="970"/>
      <c r="V12" s="970"/>
      <c r="W12" s="970"/>
      <c r="X12" s="970"/>
      <c r="Y12" s="970"/>
      <c r="Z12" s="970"/>
      <c r="AA12" s="970"/>
      <c r="AB12" s="970"/>
      <c r="AC12" s="970"/>
      <c r="AD12" s="970"/>
      <c r="AE12" s="971"/>
    </row>
    <row r="13" spans="1:32" s="59" customFormat="1" ht="16.350000000000001" customHeight="1" x14ac:dyDescent="0.25">
      <c r="A13" s="451"/>
      <c r="B13" s="21"/>
      <c r="D13" s="972"/>
      <c r="E13" s="973"/>
      <c r="F13" s="973"/>
      <c r="G13" s="973"/>
      <c r="H13" s="973"/>
      <c r="I13" s="973"/>
      <c r="J13" s="974"/>
      <c r="K13" s="11"/>
      <c r="L13" s="11"/>
      <c r="N13" s="972"/>
      <c r="O13" s="973"/>
      <c r="P13" s="973"/>
      <c r="Q13" s="973"/>
      <c r="R13" s="973"/>
      <c r="S13" s="973"/>
      <c r="T13" s="973"/>
      <c r="U13" s="973"/>
      <c r="V13" s="973"/>
      <c r="W13" s="973"/>
      <c r="X13" s="973"/>
      <c r="Y13" s="973"/>
      <c r="Z13" s="973"/>
      <c r="AA13" s="973"/>
      <c r="AB13" s="973"/>
      <c r="AC13" s="973"/>
      <c r="AD13" s="973"/>
      <c r="AE13" s="974"/>
    </row>
    <row r="14" spans="1:32" s="59" customFormat="1" ht="16.350000000000001" customHeight="1" x14ac:dyDescent="0.25">
      <c r="A14" s="451"/>
      <c r="B14" s="3"/>
      <c r="D14" s="11"/>
      <c r="E14" s="11"/>
      <c r="F14" s="622"/>
      <c r="G14" s="11"/>
      <c r="H14" s="11"/>
      <c r="I14" s="11"/>
      <c r="J14" s="11"/>
      <c r="K14" s="11"/>
      <c r="L14" s="11"/>
      <c r="N14" s="5"/>
      <c r="O14" s="2"/>
      <c r="Q14" s="5"/>
      <c r="S14" s="5"/>
      <c r="W14" s="5"/>
      <c r="Y14" s="49"/>
    </row>
    <row r="15" spans="1:32" s="59" customFormat="1" ht="16.350000000000001" customHeight="1" x14ac:dyDescent="0.25">
      <c r="A15" s="451"/>
      <c r="B15" s="3"/>
      <c r="D15" s="22" t="s">
        <v>6</v>
      </c>
      <c r="E15" s="23"/>
      <c r="F15" s="623" t="s">
        <v>7</v>
      </c>
      <c r="G15" s="23"/>
      <c r="H15" s="24" t="s">
        <v>8</v>
      </c>
      <c r="I15" s="25"/>
      <c r="J15" s="26" t="s">
        <v>9</v>
      </c>
      <c r="K15" s="18"/>
      <c r="L15" s="18" t="s">
        <v>10</v>
      </c>
      <c r="M15" s="19"/>
      <c r="N15" s="45" t="s">
        <v>11</v>
      </c>
      <c r="O15" s="50" t="s">
        <v>12</v>
      </c>
      <c r="P15" s="19"/>
      <c r="Q15" s="18" t="s">
        <v>13</v>
      </c>
      <c r="R15" s="19"/>
      <c r="S15" s="18" t="s">
        <v>15</v>
      </c>
      <c r="U15" s="18" t="s">
        <v>23</v>
      </c>
      <c r="V15" s="19"/>
      <c r="W15" s="18" t="s">
        <v>32</v>
      </c>
      <c r="X15" s="19"/>
      <c r="Y15" s="18" t="s">
        <v>33</v>
      </c>
      <c r="Z15" s="19"/>
      <c r="AA15" s="18" t="s">
        <v>34</v>
      </c>
      <c r="AB15" s="18"/>
      <c r="AC15" s="18" t="s">
        <v>35</v>
      </c>
      <c r="AE15" s="18" t="s">
        <v>36</v>
      </c>
    </row>
    <row r="16" spans="1:32" s="59" customFormat="1" ht="16.350000000000001" customHeight="1" x14ac:dyDescent="0.25">
      <c r="A16" s="451"/>
      <c r="B16" s="3"/>
      <c r="D16" s="27"/>
      <c r="E16" s="4"/>
      <c r="F16" s="624"/>
      <c r="G16" s="4"/>
      <c r="H16" s="1"/>
      <c r="I16" s="1"/>
      <c r="J16" s="28" t="s">
        <v>5</v>
      </c>
      <c r="K16" s="9"/>
      <c r="L16" s="9"/>
      <c r="N16" s="46"/>
      <c r="O16" s="76"/>
      <c r="Q16" s="47" t="s">
        <v>524</v>
      </c>
      <c r="S16" s="47" t="s">
        <v>82</v>
      </c>
      <c r="W16" s="46"/>
      <c r="Y16" s="51" t="s">
        <v>5</v>
      </c>
      <c r="AA16" s="9" t="s">
        <v>1</v>
      </c>
      <c r="AB16" s="9"/>
      <c r="AC16" s="9" t="s">
        <v>1</v>
      </c>
      <c r="AE16" s="9" t="s">
        <v>1</v>
      </c>
    </row>
    <row r="17" spans="2:33" ht="16.350000000000001" customHeight="1" x14ac:dyDescent="0.25">
      <c r="B17" s="3"/>
      <c r="D17" s="29" t="s">
        <v>0</v>
      </c>
      <c r="E17" s="30"/>
      <c r="F17" s="625" t="s">
        <v>21</v>
      </c>
      <c r="G17" s="30"/>
      <c r="H17" s="9" t="s">
        <v>0</v>
      </c>
      <c r="I17" s="9"/>
      <c r="J17" s="28" t="s">
        <v>0</v>
      </c>
      <c r="K17" s="9"/>
      <c r="L17" s="9"/>
      <c r="M17" s="10"/>
      <c r="N17" s="47" t="s">
        <v>1</v>
      </c>
      <c r="O17" s="77" t="s">
        <v>26</v>
      </c>
      <c r="P17" s="10"/>
      <c r="Q17" s="47" t="s">
        <v>1</v>
      </c>
      <c r="R17" s="10"/>
      <c r="S17" s="47" t="s">
        <v>1</v>
      </c>
      <c r="T17" s="10"/>
      <c r="U17" s="61" t="s">
        <v>21</v>
      </c>
      <c r="V17" s="10"/>
      <c r="W17" s="47" t="s">
        <v>1</v>
      </c>
      <c r="X17" s="10"/>
      <c r="Y17" s="51" t="s">
        <v>1</v>
      </c>
      <c r="Z17" s="10"/>
      <c r="AA17" s="9" t="s">
        <v>4</v>
      </c>
      <c r="AB17" s="9"/>
      <c r="AC17" s="9" t="s">
        <v>4</v>
      </c>
      <c r="AE17" s="9" t="s">
        <v>4</v>
      </c>
      <c r="AG17" s="59"/>
    </row>
    <row r="18" spans="2:33" ht="16.350000000000001" customHeight="1" x14ac:dyDescent="0.25">
      <c r="B18" s="3"/>
      <c r="D18" s="29" t="s">
        <v>521</v>
      </c>
      <c r="E18" s="30"/>
      <c r="F18" s="625" t="s">
        <v>22</v>
      </c>
      <c r="G18" s="30"/>
      <c r="H18" s="9" t="s">
        <v>3</v>
      </c>
      <c r="I18" s="9"/>
      <c r="J18" s="28" t="s">
        <v>3</v>
      </c>
      <c r="K18" s="9"/>
      <c r="L18" s="9"/>
      <c r="M18" s="10"/>
      <c r="N18" s="47" t="s">
        <v>521</v>
      </c>
      <c r="O18" s="77" t="s">
        <v>27</v>
      </c>
      <c r="P18" s="10"/>
      <c r="Q18" s="47" t="s">
        <v>521</v>
      </c>
      <c r="R18" s="10"/>
      <c r="S18" s="47" t="s">
        <v>521</v>
      </c>
      <c r="T18" s="10"/>
      <c r="U18" s="61" t="s">
        <v>22</v>
      </c>
      <c r="V18" s="10"/>
      <c r="W18" s="47" t="s">
        <v>3</v>
      </c>
      <c r="X18" s="10"/>
      <c r="Y18" s="51" t="s">
        <v>3</v>
      </c>
      <c r="Z18" s="10"/>
      <c r="AA18" s="47" t="s">
        <v>521</v>
      </c>
      <c r="AB18" s="9"/>
      <c r="AC18" s="51" t="s">
        <v>3</v>
      </c>
      <c r="AE18" s="9" t="s">
        <v>25</v>
      </c>
      <c r="AG18" s="59"/>
    </row>
    <row r="19" spans="2:33" ht="16.350000000000001" customHeight="1" x14ac:dyDescent="0.25">
      <c r="B19" s="186" t="s">
        <v>111</v>
      </c>
      <c r="D19" s="27"/>
      <c r="E19" s="1"/>
      <c r="F19" s="626"/>
      <c r="G19" s="1"/>
      <c r="H19" s="1"/>
      <c r="I19" s="1"/>
      <c r="J19" s="363"/>
      <c r="K19" s="1"/>
      <c r="L19" s="1"/>
      <c r="N19" s="46"/>
      <c r="O19" s="76"/>
      <c r="Q19" s="46"/>
      <c r="S19" s="46"/>
      <c r="W19" s="46"/>
      <c r="AA19" s="1"/>
      <c r="AB19" s="1"/>
      <c r="AC19" s="1"/>
      <c r="AE19" s="364"/>
      <c r="AG19" s="59"/>
    </row>
    <row r="20" spans="2:33" ht="16.350000000000001" customHeight="1" x14ac:dyDescent="0.25">
      <c r="B20" s="13" t="s">
        <v>2</v>
      </c>
      <c r="D20" s="31">
        <f>H20*F20</f>
        <v>0</v>
      </c>
      <c r="E20" s="365"/>
      <c r="F20" s="624">
        <f>H$5</f>
        <v>3.5</v>
      </c>
      <c r="G20" s="365"/>
      <c r="H20" s="366">
        <v>0</v>
      </c>
      <c r="I20" s="365"/>
      <c r="J20" s="367">
        <f>H20/$H$8</f>
        <v>0</v>
      </c>
      <c r="K20" s="368"/>
      <c r="L20" s="368"/>
      <c r="N20" s="2">
        <v>0</v>
      </c>
      <c r="Q20" s="41">
        <f>N20-S20</f>
        <v>0</v>
      </c>
      <c r="S20" s="2">
        <f>N20</f>
        <v>0</v>
      </c>
      <c r="U20" s="4">
        <v>3.5</v>
      </c>
      <c r="W20" s="369">
        <v>0</v>
      </c>
      <c r="AA20" s="370" t="str">
        <f>IF(S20=0,"",S20-D20)</f>
        <v/>
      </c>
      <c r="AB20" s="370"/>
      <c r="AC20" s="370" t="str">
        <f>IF(W20=0,"",W20-H20)</f>
        <v/>
      </c>
      <c r="AE20" s="371" t="str">
        <f>IF(W20=0,"",((W20-H20)/H20))</f>
        <v/>
      </c>
      <c r="AG20" s="59"/>
    </row>
    <row r="21" spans="2:33" ht="16.350000000000001" customHeight="1" thickBot="1" x14ac:dyDescent="0.3">
      <c r="B21" s="372" t="s">
        <v>112</v>
      </c>
      <c r="D21" s="373">
        <f>D20</f>
        <v>0</v>
      </c>
      <c r="E21" s="4"/>
      <c r="F21" s="624"/>
      <c r="G21" s="4"/>
      <c r="H21" s="374">
        <f>H20</f>
        <v>0</v>
      </c>
      <c r="I21" s="8"/>
      <c r="J21" s="375">
        <f>J20</f>
        <v>0</v>
      </c>
      <c r="K21" s="12"/>
      <c r="L21" s="17"/>
      <c r="N21" s="374">
        <f>IF(N20="",0,+N20)</f>
        <v>0</v>
      </c>
      <c r="O21" s="58"/>
      <c r="Q21" s="374">
        <f>IF(Q20="",0,+Q20)</f>
        <v>0</v>
      </c>
      <c r="S21" s="374">
        <f>IF(S20="",0,+S20)</f>
        <v>0</v>
      </c>
      <c r="T21" s="4"/>
      <c r="U21" s="4"/>
      <c r="V21" s="4"/>
      <c r="W21" s="374">
        <f>W20</f>
        <v>0</v>
      </c>
      <c r="X21" s="8"/>
      <c r="Y21" s="376">
        <f>IF(W21="","",SUM(Y20))</f>
        <v>0</v>
      </c>
      <c r="AA21" s="377" t="str">
        <f>AA20</f>
        <v/>
      </c>
      <c r="AB21" s="66"/>
      <c r="AC21" s="377" t="str">
        <f>AC20</f>
        <v/>
      </c>
      <c r="AE21" s="378" t="str">
        <f>IF(W21=0,"",((W21-H21)/H21))</f>
        <v/>
      </c>
      <c r="AG21" s="59"/>
    </row>
    <row r="22" spans="2:33" ht="16.350000000000001" customHeight="1" x14ac:dyDescent="0.25">
      <c r="B22" s="379"/>
      <c r="D22" s="380"/>
      <c r="E22" s="12"/>
      <c r="F22" s="627"/>
      <c r="G22" s="12"/>
      <c r="H22" s="12"/>
      <c r="I22" s="12"/>
      <c r="J22" s="33"/>
      <c r="K22" s="12"/>
      <c r="L22" s="381"/>
      <c r="N22" s="32"/>
      <c r="O22" s="41"/>
      <c r="Q22" s="32"/>
      <c r="S22" s="32"/>
      <c r="T22" s="4"/>
      <c r="U22" s="4"/>
      <c r="V22" s="4"/>
      <c r="W22" s="32"/>
      <c r="X22" s="4"/>
      <c r="Y22" s="52"/>
      <c r="AA22" s="56"/>
      <c r="AB22" s="56"/>
      <c r="AC22" s="56"/>
      <c r="AE22" s="54"/>
      <c r="AG22" s="59"/>
    </row>
    <row r="23" spans="2:33" ht="16.350000000000001" customHeight="1" x14ac:dyDescent="0.25">
      <c r="B23" s="382" t="s">
        <v>113</v>
      </c>
      <c r="D23" s="34"/>
      <c r="E23" s="4"/>
      <c r="F23" s="624"/>
      <c r="G23" s="4"/>
      <c r="H23" s="4"/>
      <c r="I23" s="4"/>
      <c r="J23" s="35"/>
      <c r="N23" s="68"/>
      <c r="O23" s="70"/>
      <c r="Q23" s="68"/>
      <c r="S23" s="68"/>
      <c r="T23" s="4"/>
      <c r="U23" s="4"/>
      <c r="V23" s="4"/>
      <c r="W23" s="32"/>
      <c r="X23" s="4"/>
      <c r="Y23" s="52"/>
      <c r="AA23" s="56"/>
      <c r="AB23" s="56"/>
      <c r="AC23" s="56"/>
      <c r="AE23" s="54"/>
      <c r="AG23" s="59"/>
    </row>
    <row r="24" spans="2:33" ht="16.350000000000001" customHeight="1" x14ac:dyDescent="0.25">
      <c r="B24" s="383" t="str">
        <f>+'Ghana-CostDriverInput'!B22</f>
        <v>1.1 National meetings (NMCP)</v>
      </c>
      <c r="D24" s="924">
        <f t="shared" ref="D24:D33" si="0">+F24*H24</f>
        <v>12325.753589041095</v>
      </c>
      <c r="E24" s="365"/>
      <c r="F24" s="624">
        <f t="shared" ref="F24:F33" si="1">H$5</f>
        <v>3.5</v>
      </c>
      <c r="G24" s="456"/>
      <c r="H24" s="923">
        <f>+'Ghana-CostDriverInput'!AB32</f>
        <v>3521.6438825831701</v>
      </c>
      <c r="I24" s="456"/>
      <c r="J24" s="367">
        <f t="shared" ref="J24:J33" si="2">H24/$H$8</f>
        <v>1.3107161255538336E-3</v>
      </c>
      <c r="K24" s="368"/>
      <c r="L24" s="368"/>
      <c r="N24" s="366">
        <v>0</v>
      </c>
      <c r="O24" s="58"/>
      <c r="Q24" s="366">
        <v>0</v>
      </c>
      <c r="S24" s="41">
        <f>N24-Q24</f>
        <v>0</v>
      </c>
      <c r="T24" s="4"/>
      <c r="U24" s="4">
        <v>3.5</v>
      </c>
      <c r="V24" s="4"/>
      <c r="W24" s="41">
        <f>S24/U24</f>
        <v>0</v>
      </c>
      <c r="X24" s="4"/>
      <c r="AA24" s="370" t="str">
        <f t="shared" ref="AA24:AA33" si="3">IF(S24=0,"",S24-D24)</f>
        <v/>
      </c>
      <c r="AB24" s="370"/>
      <c r="AC24" s="370" t="str">
        <f t="shared" ref="AC24:AC33" si="4">IF(W24=0,"",W24-H24)</f>
        <v/>
      </c>
      <c r="AE24" s="371" t="str">
        <f t="shared" ref="AE24:AE33" si="5">IF(W24=0,"",((W24-H24)/H24))</f>
        <v/>
      </c>
      <c r="AG24" s="59"/>
    </row>
    <row r="25" spans="2:33" ht="16.350000000000001" customHeight="1" x14ac:dyDescent="0.25">
      <c r="B25" s="383" t="str">
        <f>+'Ghana-CostDriverInput'!B35</f>
        <v>1.2.1 Regional Planning Workshops</v>
      </c>
      <c r="D25" s="924">
        <f t="shared" si="0"/>
        <v>1158.9882619863013</v>
      </c>
      <c r="E25" s="365"/>
      <c r="F25" s="624">
        <f t="shared" si="1"/>
        <v>3.5</v>
      </c>
      <c r="G25" s="456"/>
      <c r="H25" s="923">
        <f>+'Ghana-CostDriverInput'!AB45</f>
        <v>331.13950342465751</v>
      </c>
      <c r="I25" s="456"/>
      <c r="J25" s="367">
        <f t="shared" si="2"/>
        <v>1.2324638760129861E-4</v>
      </c>
      <c r="K25" s="368"/>
      <c r="L25" s="368"/>
      <c r="N25" s="366">
        <v>0</v>
      </c>
      <c r="O25" s="58"/>
      <c r="Q25" s="366">
        <v>0</v>
      </c>
      <c r="S25" s="41">
        <f t="shared" ref="S25:S33" si="6">N25-Q25</f>
        <v>0</v>
      </c>
      <c r="T25" s="4"/>
      <c r="U25" s="4">
        <v>3.5</v>
      </c>
      <c r="V25" s="4"/>
      <c r="W25" s="41">
        <f t="shared" ref="W25:W33" si="7">S25/U25</f>
        <v>0</v>
      </c>
      <c r="X25" s="4"/>
      <c r="AA25" s="370" t="str">
        <f t="shared" si="3"/>
        <v/>
      </c>
      <c r="AB25" s="370"/>
      <c r="AC25" s="370" t="str">
        <f t="shared" si="4"/>
        <v/>
      </c>
      <c r="AE25" s="371" t="str">
        <f t="shared" si="5"/>
        <v/>
      </c>
      <c r="AG25" s="59"/>
    </row>
    <row r="26" spans="2:33" ht="16.350000000000001" customHeight="1" x14ac:dyDescent="0.25">
      <c r="B26" s="921" t="str">
        <f>+'Ghana-CostDriverInput'!B47</f>
        <v>1.2.2 Recruitment, Program Design, and Positioning</v>
      </c>
      <c r="D26" s="924">
        <f t="shared" si="0"/>
        <v>17719.621575342466</v>
      </c>
      <c r="E26" s="365"/>
      <c r="F26" s="624">
        <f t="shared" si="1"/>
        <v>3.5</v>
      </c>
      <c r="G26" s="456"/>
      <c r="H26" s="923">
        <f>+'Ghana-CostDriverInput'!AB62</f>
        <v>5062.7490215264188</v>
      </c>
      <c r="I26" s="456"/>
      <c r="J26" s="367">
        <f t="shared" si="2"/>
        <v>1.8842980731143967E-3</v>
      </c>
      <c r="K26" s="368"/>
      <c r="L26" s="368"/>
      <c r="N26" s="366">
        <v>0</v>
      </c>
      <c r="O26" s="58"/>
      <c r="Q26" s="366">
        <v>0</v>
      </c>
      <c r="S26" s="41">
        <f t="shared" si="6"/>
        <v>0</v>
      </c>
      <c r="T26" s="4"/>
      <c r="U26" s="4">
        <v>3.5</v>
      </c>
      <c r="V26" s="4"/>
      <c r="W26" s="41">
        <f t="shared" si="7"/>
        <v>0</v>
      </c>
      <c r="X26" s="4"/>
      <c r="AA26" s="370" t="str">
        <f t="shared" si="3"/>
        <v/>
      </c>
      <c r="AB26" s="370"/>
      <c r="AC26" s="370" t="str">
        <f t="shared" si="4"/>
        <v/>
      </c>
      <c r="AE26" s="371" t="str">
        <f t="shared" si="5"/>
        <v/>
      </c>
      <c r="AG26" s="59"/>
    </row>
    <row r="27" spans="2:33" ht="16.350000000000001" customHeight="1" x14ac:dyDescent="0.25">
      <c r="B27" s="383" t="str">
        <f>+'Ghana-CostDriverInput'!B64</f>
        <v>1.2.3 Informative Regional Meetings</v>
      </c>
      <c r="D27" s="924">
        <f t="shared" si="0"/>
        <v>557.31937500000004</v>
      </c>
      <c r="E27" s="365"/>
      <c r="F27" s="624">
        <f t="shared" si="1"/>
        <v>3.5</v>
      </c>
      <c r="G27" s="456"/>
      <c r="H27" s="923">
        <f>+'Ghana-CostDriverInput'!AB69</f>
        <v>159.23410714285717</v>
      </c>
      <c r="I27" s="456"/>
      <c r="J27" s="367">
        <f t="shared" si="2"/>
        <v>5.9265138364080653E-5</v>
      </c>
      <c r="K27" s="368"/>
      <c r="L27" s="368"/>
      <c r="N27" s="366">
        <v>0</v>
      </c>
      <c r="O27" s="58"/>
      <c r="Q27" s="366">
        <v>0</v>
      </c>
      <c r="S27" s="41">
        <f t="shared" si="6"/>
        <v>0</v>
      </c>
      <c r="T27" s="4"/>
      <c r="U27" s="4">
        <v>3.5</v>
      </c>
      <c r="V27" s="4"/>
      <c r="W27" s="41">
        <f t="shared" si="7"/>
        <v>0</v>
      </c>
      <c r="X27" s="4"/>
      <c r="AA27" s="370" t="str">
        <f t="shared" si="3"/>
        <v/>
      </c>
      <c r="AB27" s="370"/>
      <c r="AC27" s="370" t="str">
        <f t="shared" si="4"/>
        <v/>
      </c>
      <c r="AE27" s="371" t="str">
        <f t="shared" si="5"/>
        <v/>
      </c>
      <c r="AG27" s="59"/>
    </row>
    <row r="28" spans="2:33" ht="16.350000000000001" customHeight="1" x14ac:dyDescent="0.25">
      <c r="B28" s="922" t="str">
        <f>+'Ghana-CostDriverInput'!B72</f>
        <v>1.3.1 Orientation of district and subdistrict authorities on distribution process</v>
      </c>
      <c r="D28" s="924">
        <f t="shared" si="0"/>
        <v>655.80013698630137</v>
      </c>
      <c r="E28" s="365"/>
      <c r="F28" s="624">
        <f t="shared" si="1"/>
        <v>3.5</v>
      </c>
      <c r="G28" s="456"/>
      <c r="H28" s="923">
        <f>+'Ghana-CostDriverInput'!AB89</f>
        <v>187.3714677103718</v>
      </c>
      <c r="I28" s="456"/>
      <c r="J28" s="367">
        <f t="shared" si="2"/>
        <v>6.9737546550711942E-5</v>
      </c>
      <c r="K28" s="368"/>
      <c r="L28" s="368"/>
      <c r="N28" s="366">
        <v>0</v>
      </c>
      <c r="O28" s="58"/>
      <c r="Q28" s="366">
        <v>0</v>
      </c>
      <c r="S28" s="41">
        <f t="shared" si="6"/>
        <v>0</v>
      </c>
      <c r="T28" s="4"/>
      <c r="U28" s="4">
        <v>3.5</v>
      </c>
      <c r="V28" s="4"/>
      <c r="W28" s="41">
        <f t="shared" si="7"/>
        <v>0</v>
      </c>
      <c r="X28" s="4"/>
      <c r="AA28" s="370" t="str">
        <f t="shared" si="3"/>
        <v/>
      </c>
      <c r="AB28" s="370"/>
      <c r="AC28" s="370" t="str">
        <f t="shared" si="4"/>
        <v/>
      </c>
      <c r="AE28" s="371" t="str">
        <f t="shared" si="5"/>
        <v/>
      </c>
      <c r="AG28" s="59"/>
    </row>
    <row r="29" spans="2:33" ht="16.350000000000001" customHeight="1" x14ac:dyDescent="0.25">
      <c r="B29" s="13" t="str">
        <f>+'Ghana-CostDriverInput'!B91</f>
        <v>1.3.2 Orientation of Supervisors for HH assessment/registration of coupons</v>
      </c>
      <c r="D29" s="924">
        <f t="shared" si="0"/>
        <v>4696.526249999999</v>
      </c>
      <c r="E29" s="365"/>
      <c r="F29" s="624">
        <f t="shared" si="1"/>
        <v>3.5</v>
      </c>
      <c r="G29" s="456"/>
      <c r="H29" s="923">
        <f>+'Ghana-CostDriverInput'!AB101</f>
        <v>1341.8646428571426</v>
      </c>
      <c r="I29" s="456"/>
      <c r="J29" s="367">
        <f>H29/$H$8</f>
        <v>4.99426882542504E-4</v>
      </c>
      <c r="K29" s="368"/>
      <c r="L29" s="368"/>
      <c r="N29" s="366">
        <v>0</v>
      </c>
      <c r="O29" s="58"/>
      <c r="Q29" s="366">
        <v>0</v>
      </c>
      <c r="S29" s="41">
        <f>N29-Q29</f>
        <v>0</v>
      </c>
      <c r="T29" s="4"/>
      <c r="U29" s="4">
        <v>3.5</v>
      </c>
      <c r="V29" s="4"/>
      <c r="W29" s="41">
        <f>S29/U29</f>
        <v>0</v>
      </c>
      <c r="X29" s="4"/>
      <c r="AA29" s="370" t="str">
        <f>IF(S29=0,"",S29-D29)</f>
        <v/>
      </c>
      <c r="AB29" s="370"/>
      <c r="AC29" s="370" t="str">
        <f>IF(W29=0,"",W29-H29)</f>
        <v/>
      </c>
      <c r="AE29" s="371" t="str">
        <f>IF(W29=0,"",((W29-H29)/H29))</f>
        <v/>
      </c>
      <c r="AG29" s="59"/>
    </row>
    <row r="30" spans="2:33" ht="16.350000000000001" customHeight="1" x14ac:dyDescent="0.25">
      <c r="B30" s="13" t="str">
        <f>+'Ghana-CostDriverInput'!B103</f>
        <v>1.3.3 Orientation  of Volunteers  on HH assessment/registration</v>
      </c>
      <c r="D30" s="924">
        <f t="shared" si="0"/>
        <v>0</v>
      </c>
      <c r="E30" s="365"/>
      <c r="F30" s="624">
        <f t="shared" si="1"/>
        <v>3.5</v>
      </c>
      <c r="G30" s="456"/>
      <c r="H30" s="923">
        <f>+'Ghana-CostDriverInput'!AB109</f>
        <v>0</v>
      </c>
      <c r="I30" s="456"/>
      <c r="J30" s="367">
        <f>H30/$H$8</f>
        <v>0</v>
      </c>
      <c r="K30" s="368"/>
      <c r="L30" s="368"/>
      <c r="N30" s="366"/>
      <c r="O30" s="58"/>
      <c r="Q30" s="366"/>
      <c r="S30" s="41"/>
      <c r="T30" s="4"/>
      <c r="U30" s="4"/>
      <c r="V30" s="4"/>
      <c r="W30" s="41"/>
      <c r="X30" s="4"/>
      <c r="AA30" s="370"/>
      <c r="AB30" s="370"/>
      <c r="AC30" s="370"/>
      <c r="AE30" s="371"/>
      <c r="AG30" s="59"/>
    </row>
    <row r="31" spans="2:33" ht="16.350000000000001" customHeight="1" x14ac:dyDescent="0.25">
      <c r="B31" s="13" t="str">
        <f>+'Ghana-CostDriverInput'!B112</f>
        <v xml:space="preserve">1.3.4 Monitoring of HH registration </v>
      </c>
      <c r="D31" s="924">
        <f t="shared" si="0"/>
        <v>30537.621369863016</v>
      </c>
      <c r="E31" s="365"/>
      <c r="F31" s="624">
        <f t="shared" si="1"/>
        <v>3.5</v>
      </c>
      <c r="G31" s="365"/>
      <c r="H31" s="923">
        <f>+'Ghana-CostDriverInput'!AB122</f>
        <v>8725.0346771037184</v>
      </c>
      <c r="I31" s="365"/>
      <c r="J31" s="367">
        <f t="shared" si="2"/>
        <v>3.247359480001637E-3</v>
      </c>
      <c r="K31" s="368"/>
      <c r="L31" s="368"/>
      <c r="N31" s="366">
        <v>0</v>
      </c>
      <c r="O31" s="58"/>
      <c r="Q31" s="366">
        <v>0</v>
      </c>
      <c r="S31" s="41">
        <f t="shared" si="6"/>
        <v>0</v>
      </c>
      <c r="T31" s="4"/>
      <c r="U31" s="4">
        <v>3.5</v>
      </c>
      <c r="V31" s="4"/>
      <c r="W31" s="41">
        <f t="shared" si="7"/>
        <v>0</v>
      </c>
      <c r="X31" s="4"/>
      <c r="AA31" s="370" t="str">
        <f t="shared" si="3"/>
        <v/>
      </c>
      <c r="AB31" s="370"/>
      <c r="AC31" s="370" t="str">
        <f t="shared" si="4"/>
        <v/>
      </c>
      <c r="AE31" s="371" t="str">
        <f t="shared" si="5"/>
        <v/>
      </c>
      <c r="AG31" s="59"/>
    </row>
    <row r="32" spans="2:33" ht="16.350000000000001" customHeight="1" x14ac:dyDescent="0.25">
      <c r="B32" s="13" t="str">
        <f>+'Ghana-CostDriverInput'!B124</f>
        <v>1.3.5 Pre Distribution LLIN validation</v>
      </c>
      <c r="D32" s="924">
        <f t="shared" si="0"/>
        <v>50146.133863013696</v>
      </c>
      <c r="E32" s="365"/>
      <c r="F32" s="624">
        <f t="shared" si="1"/>
        <v>3.5</v>
      </c>
      <c r="G32" s="365"/>
      <c r="H32" s="923">
        <f>+'Ghana-CostDriverInput'!AB143</f>
        <v>14327.466818003913</v>
      </c>
      <c r="I32" s="365"/>
      <c r="J32" s="367">
        <f t="shared" si="2"/>
        <v>5.3325215220002293E-3</v>
      </c>
      <c r="K32" s="368"/>
      <c r="L32" s="368"/>
      <c r="N32" s="366">
        <v>0</v>
      </c>
      <c r="O32" s="58"/>
      <c r="Q32" s="366">
        <v>0</v>
      </c>
      <c r="S32" s="41">
        <f t="shared" si="6"/>
        <v>0</v>
      </c>
      <c r="T32" s="4"/>
      <c r="U32" s="4">
        <v>3.5</v>
      </c>
      <c r="V32" s="4"/>
      <c r="W32" s="41">
        <f t="shared" si="7"/>
        <v>0</v>
      </c>
      <c r="X32" s="4"/>
      <c r="AA32" s="370" t="str">
        <f t="shared" si="3"/>
        <v/>
      </c>
      <c r="AB32" s="370"/>
      <c r="AC32" s="370" t="str">
        <f t="shared" si="4"/>
        <v/>
      </c>
      <c r="AE32" s="371" t="str">
        <f t="shared" si="5"/>
        <v/>
      </c>
      <c r="AG32" s="59"/>
    </row>
    <row r="33" spans="1:33" ht="16.350000000000001" customHeight="1" x14ac:dyDescent="0.25">
      <c r="B33" s="13" t="str">
        <f>+'Ghana-CostDriverInput'!B237</f>
        <v>1.4.1 Report on HH Registration Exercise</v>
      </c>
      <c r="D33" s="924">
        <f t="shared" si="0"/>
        <v>3547.9452054794519</v>
      </c>
      <c r="E33" s="365"/>
      <c r="F33" s="624">
        <f t="shared" si="1"/>
        <v>3.5</v>
      </c>
      <c r="G33" s="365"/>
      <c r="H33" s="923">
        <f>+'Ghana-CostDriverInput'!AB256</f>
        <v>1013.6986301369863</v>
      </c>
      <c r="I33" s="365"/>
      <c r="J33" s="367">
        <f t="shared" si="2"/>
        <v>3.7728719463757425E-4</v>
      </c>
      <c r="K33" s="368"/>
      <c r="L33" s="368"/>
      <c r="N33" s="366">
        <v>0</v>
      </c>
      <c r="O33" s="58"/>
      <c r="Q33" s="366">
        <v>0</v>
      </c>
      <c r="S33" s="41">
        <f t="shared" si="6"/>
        <v>0</v>
      </c>
      <c r="T33" s="4"/>
      <c r="U33" s="4">
        <v>3.5</v>
      </c>
      <c r="V33" s="4"/>
      <c r="W33" s="41">
        <f t="shared" si="7"/>
        <v>0</v>
      </c>
      <c r="X33" s="4"/>
      <c r="AA33" s="370" t="str">
        <f t="shared" si="3"/>
        <v/>
      </c>
      <c r="AB33" s="370"/>
      <c r="AC33" s="370" t="str">
        <f t="shared" si="4"/>
        <v/>
      </c>
      <c r="AE33" s="371" t="str">
        <f t="shared" si="5"/>
        <v/>
      </c>
      <c r="AG33" s="59"/>
    </row>
    <row r="34" spans="1:33" s="312" customFormat="1" ht="16.350000000000001" customHeight="1" thickBot="1" x14ac:dyDescent="0.3">
      <c r="A34" s="451"/>
      <c r="B34" s="384" t="s">
        <v>114</v>
      </c>
      <c r="D34" s="385">
        <f>SUM(D24:D33)</f>
        <v>121345.70962671234</v>
      </c>
      <c r="E34" s="313"/>
      <c r="F34" s="628"/>
      <c r="G34" s="313"/>
      <c r="H34" s="386">
        <f>SUM(H24:H33)</f>
        <v>34670.202750489232</v>
      </c>
      <c r="I34" s="387"/>
      <c r="J34" s="388">
        <f>SUM(J24:J33)</f>
        <v>1.2903858350366266E-2</v>
      </c>
      <c r="K34" s="389"/>
      <c r="L34" s="328"/>
      <c r="N34" s="390">
        <f>SUM(N24:N33)</f>
        <v>0</v>
      </c>
      <c r="O34" s="391"/>
      <c r="Q34" s="390">
        <f>SUM(Q24:Q33)</f>
        <v>0</v>
      </c>
      <c r="S34" s="390">
        <f>SUM(S24:S33)</f>
        <v>0</v>
      </c>
      <c r="T34" s="313"/>
      <c r="U34" s="313"/>
      <c r="V34" s="313"/>
      <c r="W34" s="390">
        <f>SUM(W24:W33)</f>
        <v>0</v>
      </c>
      <c r="X34" s="387"/>
      <c r="Y34" s="392">
        <f>SUM(Y24:Y33)</f>
        <v>0</v>
      </c>
      <c r="AA34" s="393">
        <f>SUM(AA24:AA33)</f>
        <v>0</v>
      </c>
      <c r="AB34" s="394"/>
      <c r="AC34" s="393">
        <f>SUM(AC24:AC33)</f>
        <v>0</v>
      </c>
      <c r="AE34" s="395" t="str">
        <f>IF(COUNT(S24:S33)=12,((S34-D34)/D34),"")</f>
        <v/>
      </c>
    </row>
    <row r="35" spans="1:33" ht="16.350000000000001" customHeight="1" x14ac:dyDescent="0.25">
      <c r="B35" s="379"/>
      <c r="D35" s="380"/>
      <c r="E35" s="12"/>
      <c r="F35" s="627"/>
      <c r="G35" s="12"/>
      <c r="H35" s="12"/>
      <c r="I35" s="12"/>
      <c r="J35" s="33"/>
      <c r="K35" s="12"/>
      <c r="L35" s="381"/>
      <c r="N35" s="32"/>
      <c r="O35" s="41"/>
      <c r="Q35" s="396"/>
      <c r="S35" s="32"/>
      <c r="T35" s="4"/>
      <c r="U35" s="4"/>
      <c r="V35" s="4"/>
      <c r="W35" s="32"/>
      <c r="X35" s="4"/>
      <c r="Y35" s="52"/>
      <c r="AA35" s="56"/>
      <c r="AB35" s="56"/>
      <c r="AC35" s="56"/>
      <c r="AE35" s="54"/>
      <c r="AG35" s="59"/>
    </row>
    <row r="36" spans="1:33" s="6" customFormat="1" ht="16.350000000000001" customHeight="1" x14ac:dyDescent="0.25">
      <c r="A36" s="451"/>
      <c r="B36" s="14" t="s">
        <v>115</v>
      </c>
      <c r="D36" s="36"/>
      <c r="E36" s="7"/>
      <c r="F36" s="629"/>
      <c r="G36" s="7"/>
      <c r="H36" s="7"/>
      <c r="I36" s="7"/>
      <c r="J36" s="37"/>
      <c r="N36" s="41"/>
      <c r="O36" s="41"/>
      <c r="Q36" s="41"/>
      <c r="S36" s="41"/>
      <c r="T36" s="7"/>
      <c r="U36" s="7"/>
      <c r="V36" s="7"/>
      <c r="W36" s="41"/>
      <c r="X36" s="7"/>
      <c r="Y36" s="53"/>
      <c r="AA36" s="57"/>
      <c r="AB36" s="57"/>
      <c r="AC36" s="57"/>
      <c r="AE36" s="55"/>
    </row>
    <row r="37" spans="1:33" s="6" customFormat="1" ht="16.350000000000001" customHeight="1" x14ac:dyDescent="0.25">
      <c r="A37" s="451"/>
      <c r="B37" s="383" t="str">
        <f>+'Ghana-CostDriverInput'!B261</f>
        <v>1.5 LLIN distribution exercise (supervision/monitoring by team)</v>
      </c>
      <c r="D37" s="924">
        <f>+F37*H37</f>
        <v>42084.565643835616</v>
      </c>
      <c r="E37" s="7"/>
      <c r="F37" s="624">
        <f>H$5</f>
        <v>3.5</v>
      </c>
      <c r="G37" s="7"/>
      <c r="H37" s="923">
        <f>+'Ghana-CostDriverInput'!AB279</f>
        <v>12024.161612524462</v>
      </c>
      <c r="I37" s="365"/>
      <c r="J37" s="367">
        <f t="shared" ref="J37:J38" si="8">H37/$H$8</f>
        <v>4.4752573080276501E-3</v>
      </c>
      <c r="N37" s="366">
        <v>0</v>
      </c>
      <c r="O37" s="70"/>
      <c r="Q37" s="366">
        <v>0</v>
      </c>
      <c r="S37" s="41">
        <f t="shared" ref="S37:S38" si="9">N37-Q37</f>
        <v>0</v>
      </c>
      <c r="T37" s="7"/>
      <c r="U37" s="4">
        <v>3.5</v>
      </c>
      <c r="V37" s="7"/>
      <c r="W37" s="41">
        <f t="shared" ref="W37:W38" si="10">S37/U37</f>
        <v>0</v>
      </c>
      <c r="X37" s="7"/>
      <c r="Y37" s="49"/>
      <c r="AA37" s="370" t="str">
        <f t="shared" ref="AA37:AA38" si="11">IF(S37=0,"",S37-D37)</f>
        <v/>
      </c>
      <c r="AB37" s="370"/>
      <c r="AC37" s="370" t="str">
        <f t="shared" ref="AC37:AC38" si="12">IF(W37=0,"",W37-H37)</f>
        <v/>
      </c>
      <c r="AD37" s="59"/>
      <c r="AE37" s="371" t="str">
        <f t="shared" ref="AE37:AE38" si="13">IF(W37=0,"",((W37-H37)/H37))</f>
        <v/>
      </c>
    </row>
    <row r="38" spans="1:33" s="6" customFormat="1" ht="16.350000000000001" customHeight="1" x14ac:dyDescent="0.25">
      <c r="A38" s="451"/>
      <c r="B38" s="383" t="str">
        <f>+'Ghana-CostDriverInput'!B281</f>
        <v>1.5.1 Report on Distribution Exercise</v>
      </c>
      <c r="D38" s="924">
        <f>+F38*H38</f>
        <v>3547.9452054794519</v>
      </c>
      <c r="E38" s="7"/>
      <c r="F38" s="624">
        <f>H$5</f>
        <v>3.5</v>
      </c>
      <c r="G38" s="7"/>
      <c r="H38" s="923">
        <f>+'Ghana-CostDriverInput'!AB300</f>
        <v>1013.6986301369863</v>
      </c>
      <c r="I38" s="365"/>
      <c r="J38" s="367">
        <f t="shared" si="8"/>
        <v>3.7728719463757425E-4</v>
      </c>
      <c r="N38" s="366">
        <v>0</v>
      </c>
      <c r="O38" s="41"/>
      <c r="Q38" s="366">
        <v>0</v>
      </c>
      <c r="S38" s="41">
        <f t="shared" si="9"/>
        <v>0</v>
      </c>
      <c r="T38" s="7"/>
      <c r="U38" s="4">
        <v>3.5</v>
      </c>
      <c r="V38" s="7"/>
      <c r="W38" s="41">
        <f t="shared" si="10"/>
        <v>0</v>
      </c>
      <c r="X38" s="7"/>
      <c r="Y38" s="49"/>
      <c r="AA38" s="370" t="str">
        <f t="shared" si="11"/>
        <v/>
      </c>
      <c r="AB38" s="370"/>
      <c r="AC38" s="370" t="str">
        <f t="shared" si="12"/>
        <v/>
      </c>
      <c r="AD38" s="59"/>
      <c r="AE38" s="371" t="str">
        <f t="shared" si="13"/>
        <v/>
      </c>
    </row>
    <row r="39" spans="1:33" s="312" customFormat="1" ht="16.350000000000001" customHeight="1" thickBot="1" x14ac:dyDescent="0.3">
      <c r="A39" s="451"/>
      <c r="B39" s="384" t="s">
        <v>116</v>
      </c>
      <c r="D39" s="385">
        <f>SUM(D37:D38)</f>
        <v>45632.510849315069</v>
      </c>
      <c r="E39" s="313"/>
      <c r="F39" s="628"/>
      <c r="G39" s="313"/>
      <c r="H39" s="386">
        <f>SUM(H37:H38)</f>
        <v>13037.860242661449</v>
      </c>
      <c r="I39" s="387"/>
      <c r="J39" s="966">
        <f>SUM(J37:J38)</f>
        <v>4.852544502665224E-3</v>
      </c>
      <c r="K39" s="389"/>
      <c r="L39" s="328"/>
      <c r="N39" s="386">
        <f>SUM(N37:N38)</f>
        <v>0</v>
      </c>
      <c r="O39" s="387"/>
      <c r="Q39" s="386">
        <f>SUM(Q37:Q38)</f>
        <v>0</v>
      </c>
      <c r="S39" s="386">
        <f>SUM(S37:S38)</f>
        <v>0</v>
      </c>
      <c r="T39" s="313"/>
      <c r="U39" s="313"/>
      <c r="V39" s="313"/>
      <c r="W39" s="386">
        <f>SUM(W37:W38)</f>
        <v>0</v>
      </c>
      <c r="X39" s="387"/>
      <c r="Y39" s="398">
        <f>SUM(Y37:Y38)</f>
        <v>0</v>
      </c>
      <c r="AA39" s="393">
        <f>SUM(AA37:AA38)</f>
        <v>0</v>
      </c>
      <c r="AB39" s="394"/>
      <c r="AC39" s="393">
        <f>SUM(AC37:AC38)</f>
        <v>0</v>
      </c>
      <c r="AE39" s="395" t="str">
        <f>IF(COUNT(S37:S38)=16,((W39-H39)/H39),"")</f>
        <v/>
      </c>
    </row>
    <row r="40" spans="1:33" ht="16.350000000000001" customHeight="1" x14ac:dyDescent="0.25">
      <c r="B40" s="399"/>
      <c r="D40" s="64"/>
      <c r="E40" s="4"/>
      <c r="F40" s="624"/>
      <c r="G40" s="4"/>
      <c r="H40" s="8"/>
      <c r="I40" s="8"/>
      <c r="J40" s="33"/>
      <c r="K40" s="12"/>
      <c r="L40" s="17"/>
      <c r="N40" s="8"/>
      <c r="O40" s="58"/>
      <c r="Q40" s="8"/>
      <c r="S40" s="8"/>
      <c r="T40" s="4"/>
      <c r="U40" s="4"/>
      <c r="V40" s="4"/>
      <c r="W40" s="8"/>
      <c r="X40" s="8"/>
      <c r="Y40" s="65"/>
      <c r="AA40" s="66"/>
      <c r="AB40" s="66"/>
      <c r="AC40" s="66"/>
      <c r="AE40" s="67"/>
      <c r="AG40" s="59"/>
    </row>
    <row r="41" spans="1:33" s="312" customFormat="1" ht="16.350000000000001" customHeight="1" thickBot="1" x14ac:dyDescent="0.3">
      <c r="A41" s="451"/>
      <c r="B41" s="384" t="s">
        <v>117</v>
      </c>
      <c r="D41" s="385">
        <f>D39+D34</f>
        <v>166978.2204760274</v>
      </c>
      <c r="E41" s="313"/>
      <c r="F41" s="628"/>
      <c r="G41" s="313"/>
      <c r="H41" s="386">
        <f>H39+H34</f>
        <v>47708.062993150685</v>
      </c>
      <c r="I41" s="387"/>
      <c r="J41" s="400">
        <f>J39+J34</f>
        <v>1.775640285303149E-2</v>
      </c>
      <c r="K41" s="389"/>
      <c r="L41" s="328"/>
      <c r="N41" s="386">
        <f>N39+N34</f>
        <v>0</v>
      </c>
      <c r="O41" s="387"/>
      <c r="Q41" s="386">
        <f>Q39+Q34</f>
        <v>0</v>
      </c>
      <c r="S41" s="386">
        <f>S39+S34</f>
        <v>0</v>
      </c>
      <c r="T41" s="313"/>
      <c r="U41" s="313"/>
      <c r="V41" s="313"/>
      <c r="W41" s="386">
        <f>W39+W34</f>
        <v>0</v>
      </c>
      <c r="X41" s="387"/>
      <c r="Y41" s="398">
        <f>Y39+Y34</f>
        <v>0</v>
      </c>
      <c r="AA41" s="393">
        <f>AA39+AA34</f>
        <v>0</v>
      </c>
      <c r="AB41" s="394"/>
      <c r="AC41" s="393">
        <f>AC39+AC34</f>
        <v>0</v>
      </c>
      <c r="AE41" s="395" t="str">
        <f>IF(COUNT(S37:S38)=16,((W41-H41)/H41),"")</f>
        <v/>
      </c>
    </row>
    <row r="42" spans="1:33" ht="16.350000000000001" customHeight="1" x14ac:dyDescent="0.25">
      <c r="B42" s="399"/>
      <c r="D42" s="64"/>
      <c r="E42" s="4"/>
      <c r="F42" s="624"/>
      <c r="G42" s="4"/>
      <c r="H42" s="8"/>
      <c r="I42" s="8"/>
      <c r="J42" s="401"/>
      <c r="K42" s="12"/>
      <c r="L42" s="17"/>
      <c r="N42" s="8"/>
      <c r="O42" s="58"/>
      <c r="Q42" s="8"/>
      <c r="S42" s="8"/>
      <c r="T42" s="4"/>
      <c r="U42" s="4"/>
      <c r="V42" s="4"/>
      <c r="W42" s="8"/>
      <c r="X42" s="8"/>
      <c r="Y42" s="65"/>
      <c r="AA42" s="66"/>
      <c r="AB42" s="66"/>
      <c r="AC42" s="66"/>
      <c r="AE42" s="67"/>
      <c r="AG42" s="59"/>
    </row>
    <row r="43" spans="1:33" s="312" customFormat="1" ht="16.350000000000001" customHeight="1" thickBot="1" x14ac:dyDescent="0.3">
      <c r="A43" s="454"/>
      <c r="B43" s="384" t="s">
        <v>118</v>
      </c>
      <c r="D43" s="385">
        <f>D41+D21</f>
        <v>166978.2204760274</v>
      </c>
      <c r="E43" s="385"/>
      <c r="F43" s="946"/>
      <c r="G43" s="385"/>
      <c r="H43" s="385">
        <f>H41+H21</f>
        <v>47708.062993150685</v>
      </c>
      <c r="I43" s="387"/>
      <c r="J43" s="388">
        <f>J41+J21</f>
        <v>1.775640285303149E-2</v>
      </c>
      <c r="K43" s="389"/>
      <c r="L43" s="328"/>
      <c r="N43" s="386">
        <f>N41+N21</f>
        <v>0</v>
      </c>
      <c r="O43" s="387"/>
      <c r="Q43" s="386">
        <f>Q41+Q21</f>
        <v>0</v>
      </c>
      <c r="S43" s="386">
        <f>S41+S21</f>
        <v>0</v>
      </c>
      <c r="T43" s="313"/>
      <c r="U43" s="313"/>
      <c r="V43" s="313"/>
      <c r="W43" s="386">
        <f>W41+W21</f>
        <v>0</v>
      </c>
      <c r="X43" s="387"/>
      <c r="Y43" s="406">
        <f>Y41+Y21</f>
        <v>0</v>
      </c>
      <c r="AA43" s="393"/>
      <c r="AB43" s="387"/>
      <c r="AC43" s="393"/>
      <c r="AE43" s="395">
        <f>(W43-H43)/H43</f>
        <v>-1</v>
      </c>
    </row>
    <row r="44" spans="1:33" ht="16.350000000000001" customHeight="1" x14ac:dyDescent="0.25">
      <c r="B44" s="399"/>
      <c r="D44" s="380"/>
      <c r="E44" s="12"/>
      <c r="F44" s="627"/>
      <c r="G44" s="12"/>
      <c r="H44" s="12"/>
      <c r="I44" s="12"/>
      <c r="J44" s="33"/>
      <c r="K44" s="12"/>
      <c r="L44" s="381"/>
      <c r="N44" s="32"/>
      <c r="O44" s="41"/>
      <c r="Q44" s="32"/>
      <c r="S44" s="32"/>
      <c r="T44" s="4"/>
      <c r="U44" s="4"/>
      <c r="V44" s="4"/>
      <c r="W44" s="32"/>
      <c r="X44" s="4"/>
      <c r="Y44" s="52"/>
      <c r="AA44" s="56"/>
      <c r="AB44" s="56"/>
      <c r="AC44" s="56"/>
      <c r="AE44" s="54"/>
      <c r="AG44" s="59"/>
    </row>
    <row r="45" spans="1:33" s="7" customFormat="1" ht="16.350000000000001" customHeight="1" x14ac:dyDescent="0.25">
      <c r="A45" s="454"/>
      <c r="B45" s="383"/>
      <c r="D45" s="402"/>
      <c r="E45" s="365"/>
      <c r="F45" s="624"/>
      <c r="G45" s="365"/>
      <c r="H45" s="32"/>
      <c r="I45" s="365"/>
      <c r="J45" s="367"/>
      <c r="K45" s="368"/>
      <c r="L45" s="368"/>
      <c r="N45" s="58"/>
      <c r="O45" s="58"/>
      <c r="Q45" s="58"/>
      <c r="S45" s="58"/>
      <c r="W45" s="41"/>
      <c r="X45" s="4"/>
      <c r="Y45" s="49"/>
      <c r="Z45" s="59"/>
      <c r="AA45" s="370"/>
      <c r="AB45" s="370"/>
      <c r="AC45" s="370"/>
      <c r="AD45" s="59"/>
      <c r="AE45" s="371"/>
    </row>
    <row r="46" spans="1:33" s="69" customFormat="1" ht="16.350000000000001" customHeight="1" x14ac:dyDescent="0.25">
      <c r="A46" s="926" t="s">
        <v>557</v>
      </c>
      <c r="B46" s="403" t="str">
        <f>+'Ghana-CostDriverInput'!B307</f>
        <v>1.6.1 Campaign post-mortem meetings and voucher collection</v>
      </c>
      <c r="D46" s="924">
        <f>+F46*H46</f>
        <v>20826.588594911937</v>
      </c>
      <c r="E46" s="12"/>
      <c r="F46" s="627">
        <f>H$5</f>
        <v>3.5</v>
      </c>
      <c r="G46" s="12"/>
      <c r="H46" s="366">
        <f>+'Ghana-CostDriverInput'!AB325</f>
        <v>5950.4538842605534</v>
      </c>
      <c r="I46" s="12"/>
      <c r="J46" s="33">
        <f t="shared" ref="J46" si="14">H46/$H$8</f>
        <v>2.21469180885599E-3</v>
      </c>
      <c r="K46" s="927"/>
      <c r="L46" s="927"/>
      <c r="N46" s="58"/>
      <c r="O46" s="58"/>
      <c r="Q46" s="58"/>
      <c r="S46" s="58"/>
      <c r="W46" s="58"/>
      <c r="X46" s="60"/>
      <c r="Y46" s="48"/>
      <c r="Z46" s="62"/>
      <c r="AA46" s="370"/>
      <c r="AB46" s="370"/>
      <c r="AC46" s="370"/>
      <c r="AD46" s="62"/>
      <c r="AE46" s="371"/>
    </row>
    <row r="47" spans="1:33" s="7" customFormat="1" ht="16.350000000000001" customHeight="1" x14ac:dyDescent="0.25">
      <c r="A47" s="454"/>
      <c r="B47" s="925"/>
      <c r="D47" s="402"/>
      <c r="E47" s="365"/>
      <c r="F47" s="624"/>
      <c r="G47" s="365"/>
      <c r="H47" s="32"/>
      <c r="I47" s="365"/>
      <c r="J47" s="367"/>
      <c r="K47" s="368"/>
      <c r="L47" s="368"/>
      <c r="N47" s="58"/>
      <c r="O47" s="58"/>
      <c r="Q47" s="58"/>
      <c r="S47" s="58"/>
      <c r="W47" s="41"/>
      <c r="X47" s="4"/>
      <c r="Y47" s="49"/>
      <c r="Z47" s="59"/>
      <c r="AA47" s="370"/>
      <c r="AB47" s="370"/>
      <c r="AC47" s="370"/>
      <c r="AD47" s="59"/>
      <c r="AE47" s="371"/>
    </row>
    <row r="48" spans="1:33" s="7" customFormat="1" ht="16.350000000000001" customHeight="1" x14ac:dyDescent="0.25">
      <c r="A48" s="926" t="s">
        <v>557</v>
      </c>
      <c r="B48" s="403" t="str">
        <f>+'Ghana-CostDriverInput'!B338</f>
        <v xml:space="preserve">Post distribution check ups </v>
      </c>
      <c r="D48" s="402"/>
      <c r="E48" s="365"/>
      <c r="F48" s="624"/>
      <c r="G48" s="365"/>
      <c r="H48" s="32"/>
      <c r="I48" s="365"/>
      <c r="J48" s="367"/>
      <c r="K48" s="368"/>
      <c r="L48" s="368"/>
      <c r="N48" s="58"/>
      <c r="O48" s="58"/>
      <c r="Q48" s="58"/>
      <c r="S48" s="58"/>
      <c r="W48" s="41"/>
      <c r="X48" s="4"/>
      <c r="Y48" s="49"/>
      <c r="Z48" s="59"/>
      <c r="AA48" s="370"/>
      <c r="AB48" s="370"/>
      <c r="AC48" s="370"/>
      <c r="AD48" s="59"/>
      <c r="AE48" s="371"/>
    </row>
    <row r="49" spans="1:31" s="7" customFormat="1" ht="16.350000000000001" customHeight="1" x14ac:dyDescent="0.25">
      <c r="A49" s="454"/>
      <c r="B49" s="7" t="str">
        <f>+'Ghana-CostDriverInput'!B340</f>
        <v>2.1. Orientation of Supervisors and Staff on Full Methodology (100% - MAIN)</v>
      </c>
      <c r="D49" s="928">
        <f>+F49*H49</f>
        <v>6902.6323958904104</v>
      </c>
      <c r="E49" s="365"/>
      <c r="F49" s="624">
        <f>H$5</f>
        <v>3.5</v>
      </c>
      <c r="G49" s="365"/>
      <c r="H49" s="923">
        <f>+'Ghana-CostDriverInput'!AB356</f>
        <v>1972.1806845401172</v>
      </c>
      <c r="I49" s="365"/>
      <c r="J49" s="367">
        <f t="shared" ref="J49:J77" si="15">H49/$H$8</f>
        <v>7.3402340268330097E-4</v>
      </c>
      <c r="K49" s="368"/>
      <c r="L49" s="368"/>
      <c r="N49" s="929">
        <v>0</v>
      </c>
      <c r="O49" s="41"/>
      <c r="Q49" s="923">
        <v>0</v>
      </c>
      <c r="S49" s="41">
        <f t="shared" ref="S49:S50" si="16">N49-Q49</f>
        <v>0</v>
      </c>
      <c r="U49" s="7">
        <v>3.5</v>
      </c>
      <c r="W49" s="41">
        <f t="shared" ref="W49:W50" si="17">S49/U49</f>
        <v>0</v>
      </c>
      <c r="X49" s="4"/>
      <c r="Y49" s="49"/>
      <c r="Z49" s="59"/>
      <c r="AA49" s="56" t="str">
        <f t="shared" ref="AA49:AA50" si="18">IF(S49=0,"",S49-D49)</f>
        <v/>
      </c>
      <c r="AB49" s="56"/>
      <c r="AC49" s="56" t="str">
        <f t="shared" ref="AC49:AC50" si="19">IF(W49=0,"",W49-H49)</f>
        <v/>
      </c>
      <c r="AD49" s="59"/>
      <c r="AE49" s="54" t="str">
        <f t="shared" ref="AE49:AE50" si="20">IF(W49=0,"",((W49-H49)/H49))</f>
        <v/>
      </c>
    </row>
    <row r="50" spans="1:31" s="7" customFormat="1" ht="16.350000000000001" customHeight="1" x14ac:dyDescent="0.25">
      <c r="A50" s="454"/>
      <c r="B50" s="7" t="str">
        <f>+'Ghana-CostDriverInput'!B359</f>
        <v>2.1.2 Health Messaging and Savings Group Training</v>
      </c>
      <c r="D50" s="928">
        <f>+F50*H50</f>
        <v>0</v>
      </c>
      <c r="E50" s="365"/>
      <c r="F50" s="624">
        <f>H$5</f>
        <v>3.5</v>
      </c>
      <c r="G50" s="365"/>
      <c r="H50" s="923">
        <f>+'Ghana-CostDriverInput'!AB373+'Ghana-CostDriverInput'!AB384</f>
        <v>0</v>
      </c>
      <c r="I50" s="365"/>
      <c r="J50" s="367">
        <f t="shared" si="15"/>
        <v>0</v>
      </c>
      <c r="K50" s="368"/>
      <c r="L50" s="368"/>
      <c r="N50" s="929">
        <v>0</v>
      </c>
      <c r="O50" s="41"/>
      <c r="Q50" s="923">
        <v>0</v>
      </c>
      <c r="S50" s="41">
        <f t="shared" si="16"/>
        <v>0</v>
      </c>
      <c r="U50" s="7">
        <v>3.5</v>
      </c>
      <c r="W50" s="41">
        <f t="shared" si="17"/>
        <v>0</v>
      </c>
      <c r="X50" s="4"/>
      <c r="Y50" s="49"/>
      <c r="Z50" s="59"/>
      <c r="AA50" s="56" t="str">
        <f t="shared" si="18"/>
        <v/>
      </c>
      <c r="AB50" s="56"/>
      <c r="AC50" s="56" t="str">
        <f t="shared" si="19"/>
        <v/>
      </c>
      <c r="AD50" s="59"/>
      <c r="AE50" s="54" t="str">
        <f t="shared" si="20"/>
        <v/>
      </c>
    </row>
    <row r="51" spans="1:31" s="7" customFormat="1" ht="16.350000000000001" customHeight="1" x14ac:dyDescent="0.25">
      <c r="A51" s="454"/>
      <c r="B51" s="7" t="str">
        <f>+'Ghana-CostDriverInput'!B386</f>
        <v>2.1.3 Reports on HH level Community Sensitizations</v>
      </c>
      <c r="D51" s="928">
        <f>+F51*H51</f>
        <v>3547.9452054794515</v>
      </c>
      <c r="E51" s="365"/>
      <c r="F51" s="624">
        <f>H$5</f>
        <v>3.5</v>
      </c>
      <c r="G51" s="365"/>
      <c r="H51" s="923">
        <f>+'Ghana-CostDriverInput'!AB405</f>
        <v>1013.6986301369861</v>
      </c>
      <c r="I51" s="365"/>
      <c r="J51" s="367">
        <f t="shared" si="15"/>
        <v>3.772871946375742E-4</v>
      </c>
      <c r="K51" s="368"/>
      <c r="L51" s="368"/>
      <c r="N51" s="929">
        <v>0</v>
      </c>
      <c r="O51" s="41"/>
      <c r="Q51" s="923">
        <v>0</v>
      </c>
      <c r="S51" s="41">
        <f t="shared" ref="S51" si="21">N51-Q51</f>
        <v>0</v>
      </c>
      <c r="U51" s="7">
        <v>3.5</v>
      </c>
      <c r="W51" s="41">
        <f t="shared" ref="W51" si="22">S51/U51</f>
        <v>0</v>
      </c>
      <c r="X51" s="4"/>
      <c r="Y51" s="49"/>
      <c r="Z51" s="59"/>
      <c r="AA51" s="56"/>
      <c r="AB51" s="56"/>
      <c r="AC51" s="56"/>
      <c r="AD51" s="59"/>
      <c r="AE51" s="54"/>
    </row>
    <row r="52" spans="1:31" s="69" customFormat="1" ht="16.350000000000001" customHeight="1" x14ac:dyDescent="0.25">
      <c r="A52" s="926"/>
      <c r="B52" s="69" t="str">
        <f>+'Ghana-CostDriverInput'!B408</f>
        <v>2.1 Post Distribution Methodology and Orientation Sub total</v>
      </c>
      <c r="D52" s="924">
        <f>+F52*H52</f>
        <v>10450.577601369861</v>
      </c>
      <c r="E52" s="12"/>
      <c r="F52" s="627">
        <f>H$5</f>
        <v>3.5</v>
      </c>
      <c r="G52" s="12"/>
      <c r="H52" s="8">
        <f>+'Ghana-CostDriverInput'!AB408</f>
        <v>2985.8793146771031</v>
      </c>
      <c r="I52" s="12"/>
      <c r="J52" s="33">
        <f t="shared" si="15"/>
        <v>1.1113105973208752E-3</v>
      </c>
      <c r="K52" s="927"/>
      <c r="L52" s="927"/>
      <c r="N52" s="404"/>
      <c r="O52" s="58"/>
      <c r="Q52" s="366"/>
      <c r="S52" s="58"/>
      <c r="W52" s="58"/>
      <c r="X52" s="60"/>
      <c r="Y52" s="48"/>
      <c r="Z52" s="62"/>
      <c r="AA52" s="370"/>
      <c r="AB52" s="370"/>
      <c r="AC52" s="370"/>
      <c r="AD52" s="62"/>
      <c r="AE52" s="371"/>
    </row>
    <row r="53" spans="1:31" s="69" customFormat="1" ht="16.350000000000001" customHeight="1" x14ac:dyDescent="0.25">
      <c r="A53" s="926"/>
      <c r="D53" s="924"/>
      <c r="E53" s="12"/>
      <c r="F53" s="627"/>
      <c r="G53" s="12"/>
      <c r="H53" s="8"/>
      <c r="I53" s="12"/>
      <c r="J53" s="33"/>
      <c r="K53" s="927"/>
      <c r="L53" s="927"/>
      <c r="N53" s="404"/>
      <c r="O53" s="58"/>
      <c r="Q53" s="366"/>
      <c r="S53" s="58"/>
      <c r="W53" s="58"/>
      <c r="X53" s="60"/>
      <c r="Y53" s="48"/>
      <c r="Z53" s="62"/>
      <c r="AA53" s="370"/>
      <c r="AB53" s="370"/>
      <c r="AC53" s="370"/>
      <c r="AD53" s="62"/>
      <c r="AE53" s="371"/>
    </row>
    <row r="54" spans="1:31" s="312" customFormat="1" ht="16.350000000000001" customHeight="1" thickBot="1" x14ac:dyDescent="0.3">
      <c r="A54" s="454"/>
      <c r="B54" s="384" t="s">
        <v>558</v>
      </c>
      <c r="D54" s="385">
        <f>+D52+D46</f>
        <v>31277.166196281796</v>
      </c>
      <c r="E54" s="385"/>
      <c r="F54" s="946">
        <f t="shared" ref="F54" si="23">H$5</f>
        <v>3.5</v>
      </c>
      <c r="G54" s="385"/>
      <c r="H54" s="385">
        <f>+H52+H46</f>
        <v>8936.3331989376566</v>
      </c>
      <c r="I54" s="387"/>
      <c r="J54" s="966">
        <f>H54/$H$8</f>
        <v>3.3260024061768649E-3</v>
      </c>
      <c r="K54" s="389"/>
      <c r="L54" s="328"/>
      <c r="N54" s="385">
        <f>+N52+N46</f>
        <v>0</v>
      </c>
      <c r="O54" s="387"/>
      <c r="P54" s="385">
        <f>+P52+P46</f>
        <v>0</v>
      </c>
      <c r="Q54" s="385">
        <f>+Q52+Q46</f>
        <v>0</v>
      </c>
      <c r="S54" s="385">
        <f>+S52+S46</f>
        <v>0</v>
      </c>
      <c r="T54" s="313"/>
      <c r="U54" s="313"/>
      <c r="V54" s="313"/>
      <c r="W54" s="385">
        <f>+W52+W46</f>
        <v>0</v>
      </c>
      <c r="X54" s="387"/>
      <c r="Y54" s="385">
        <f>+Y52+Y46</f>
        <v>0</v>
      </c>
      <c r="AA54" s="393"/>
      <c r="AB54" s="387"/>
      <c r="AC54" s="385">
        <f>+AC52+AC46</f>
        <v>0</v>
      </c>
      <c r="AD54" s="385">
        <f>+AD52+AD46</f>
        <v>0</v>
      </c>
      <c r="AE54" s="395" t="str">
        <f>IF(W54=0,"",((W54-H54)/H54))</f>
        <v/>
      </c>
    </row>
    <row r="55" spans="1:31" s="931" customFormat="1" ht="16.350000000000001" customHeight="1" x14ac:dyDescent="0.25">
      <c r="A55" s="930"/>
      <c r="B55" s="840"/>
      <c r="D55" s="932"/>
      <c r="E55" s="933"/>
      <c r="F55" s="934"/>
      <c r="G55" s="933"/>
      <c r="H55" s="935"/>
      <c r="I55" s="933"/>
      <c r="J55" s="936"/>
      <c r="K55" s="937"/>
      <c r="L55" s="937"/>
      <c r="N55" s="938"/>
      <c r="O55" s="939"/>
      <c r="Q55" s="939"/>
      <c r="S55" s="935"/>
      <c r="W55" s="935"/>
      <c r="Y55" s="940"/>
      <c r="Z55" s="941"/>
      <c r="AA55" s="942"/>
      <c r="AB55" s="942"/>
      <c r="AC55" s="942"/>
      <c r="AD55" s="941"/>
      <c r="AE55" s="943"/>
    </row>
    <row r="56" spans="1:31" s="931" customFormat="1" ht="16.350000000000001" customHeight="1" x14ac:dyDescent="0.25">
      <c r="A56" s="930"/>
      <c r="B56" s="15" t="s">
        <v>119</v>
      </c>
      <c r="D56" s="932"/>
      <c r="E56" s="933"/>
      <c r="F56" s="934"/>
      <c r="G56" s="933"/>
      <c r="H56" s="935"/>
      <c r="I56" s="933"/>
      <c r="J56" s="936"/>
      <c r="K56" s="937"/>
      <c r="L56" s="937"/>
      <c r="N56" s="938"/>
      <c r="O56" s="939"/>
      <c r="Q56" s="939"/>
      <c r="S56" s="935"/>
      <c r="W56" s="935"/>
      <c r="Y56" s="940"/>
      <c r="Z56" s="941"/>
      <c r="AA56" s="942"/>
      <c r="AB56" s="942"/>
      <c r="AC56" s="942"/>
      <c r="AD56" s="941"/>
      <c r="AE56" s="943"/>
    </row>
    <row r="57" spans="1:31" s="931" customFormat="1" ht="16.350000000000001" customHeight="1" x14ac:dyDescent="0.25">
      <c r="A57" s="930"/>
      <c r="B57" s="944" t="str">
        <f>+'Ghana-CostDriverInput'!B412</f>
        <v>2.2 100% data collection(MAIN)</v>
      </c>
      <c r="D57" s="932"/>
      <c r="E57" s="933"/>
      <c r="F57" s="934"/>
      <c r="G57" s="933"/>
      <c r="H57" s="935"/>
      <c r="I57" s="933"/>
      <c r="J57" s="936"/>
      <c r="K57" s="937"/>
      <c r="L57" s="937"/>
      <c r="N57" s="938"/>
      <c r="O57" s="939"/>
      <c r="Q57" s="939"/>
      <c r="S57" s="935"/>
      <c r="W57" s="935"/>
      <c r="Y57" s="940"/>
      <c r="Z57" s="941"/>
      <c r="AA57" s="942"/>
      <c r="AB57" s="942"/>
      <c r="AC57" s="942"/>
      <c r="AD57" s="941"/>
      <c r="AE57" s="943"/>
    </row>
    <row r="58" spans="1:31" s="7" customFormat="1" ht="16.350000000000001" customHeight="1" x14ac:dyDescent="0.25">
      <c r="A58" s="454"/>
      <c r="B58" s="99" t="str">
        <f>+'Ghana-CostDriverInput'!B415</f>
        <v>2.2.1 Periodic supervision and 100% HH data collection</v>
      </c>
      <c r="D58" s="928">
        <f>+F58*H58</f>
        <v>45650.286</v>
      </c>
      <c r="E58" s="365"/>
      <c r="F58" s="624">
        <f>H$5</f>
        <v>3.5</v>
      </c>
      <c r="G58" s="365"/>
      <c r="H58" s="923">
        <f>+'Ghana-CostDriverInput'!AB423</f>
        <v>13042.938857142857</v>
      </c>
      <c r="I58" s="365"/>
      <c r="J58" s="367">
        <f t="shared" si="15"/>
        <v>4.8544347056835293E-3</v>
      </c>
      <c r="K58" s="368"/>
      <c r="L58" s="368"/>
      <c r="N58" s="404"/>
      <c r="O58" s="58"/>
      <c r="Q58" s="366"/>
      <c r="S58" s="41"/>
      <c r="W58" s="41"/>
      <c r="X58" s="4"/>
      <c r="Y58" s="49"/>
      <c r="Z58" s="59"/>
      <c r="AA58" s="370"/>
      <c r="AB58" s="370"/>
      <c r="AC58" s="370"/>
      <c r="AD58" s="59"/>
      <c r="AE58" s="371"/>
    </row>
    <row r="59" spans="1:31" s="7" customFormat="1" ht="16.350000000000001" customHeight="1" x14ac:dyDescent="0.25">
      <c r="A59" s="454"/>
      <c r="B59" s="99" t="str">
        <f>+'Ghana-CostDriverInput'!B425</f>
        <v>2.2.2) Stationary and Equipment</v>
      </c>
      <c r="D59" s="928">
        <f>+F59*H59</f>
        <v>62508.999999999985</v>
      </c>
      <c r="E59" s="365"/>
      <c r="F59" s="624">
        <f>H$5</f>
        <v>3.5</v>
      </c>
      <c r="G59" s="365"/>
      <c r="H59" s="923">
        <f>+'Ghana-CostDriverInput'!AB434</f>
        <v>17859.714285714283</v>
      </c>
      <c r="I59" s="365"/>
      <c r="J59" s="367">
        <f t="shared" si="15"/>
        <v>6.6471841823197266E-3</v>
      </c>
      <c r="K59" s="368"/>
      <c r="L59" s="368"/>
      <c r="N59" s="404"/>
      <c r="O59" s="58"/>
      <c r="Q59" s="366"/>
      <c r="S59" s="41"/>
      <c r="W59" s="41"/>
      <c r="X59" s="4"/>
      <c r="Y59" s="49"/>
      <c r="Z59" s="59"/>
      <c r="AA59" s="370"/>
      <c r="AB59" s="370"/>
      <c r="AC59" s="370"/>
      <c r="AD59" s="59"/>
      <c r="AE59" s="371"/>
    </row>
    <row r="60" spans="1:31" s="7" customFormat="1" ht="16.350000000000001" customHeight="1" x14ac:dyDescent="0.25">
      <c r="A60" s="454"/>
      <c r="B60" s="99" t="str">
        <f>+'Ghana-CostDriverInput'!B436</f>
        <v>2.2.3 Other costs</v>
      </c>
      <c r="D60" s="928">
        <f>+F60*H60</f>
        <v>120481.27761662015</v>
      </c>
      <c r="E60" s="365"/>
      <c r="F60" s="624">
        <f>H$5</f>
        <v>3.5</v>
      </c>
      <c r="G60" s="365"/>
      <c r="H60" s="923">
        <f>+'Ghana-CostDriverInput'!AB439</f>
        <v>34423.222176177187</v>
      </c>
      <c r="I60" s="365"/>
      <c r="J60" s="367">
        <f t="shared" si="15"/>
        <v>1.2811934966786693E-2</v>
      </c>
      <c r="K60" s="368"/>
      <c r="L60" s="368"/>
      <c r="N60" s="404"/>
      <c r="O60" s="58"/>
      <c r="Q60" s="366"/>
      <c r="S60" s="41"/>
      <c r="W60" s="41"/>
      <c r="X60" s="4"/>
      <c r="Y60" s="49"/>
      <c r="Z60" s="59"/>
      <c r="AA60" s="370"/>
      <c r="AB60" s="370"/>
      <c r="AC60" s="370"/>
      <c r="AD60" s="59"/>
      <c r="AE60" s="371"/>
    </row>
    <row r="61" spans="1:31" s="69" customFormat="1" ht="16.350000000000001" customHeight="1" x14ac:dyDescent="0.25">
      <c r="A61" s="926"/>
      <c r="B61" s="69" t="str">
        <f>+'Ghana-CostDriverInput'!B441</f>
        <v>2.2  100% Data Collection Sub total</v>
      </c>
      <c r="D61" s="924">
        <f>+F61*H61</f>
        <v>228640.56361662014</v>
      </c>
      <c r="E61" s="12"/>
      <c r="F61" s="627">
        <f>H$5</f>
        <v>3.5</v>
      </c>
      <c r="G61" s="12"/>
      <c r="H61" s="8">
        <f>+'Ghana-CostDriverInput'!AB441</f>
        <v>65325.875319034327</v>
      </c>
      <c r="I61" s="12"/>
      <c r="J61" s="33">
        <f t="shared" si="15"/>
        <v>2.4313553854789949E-2</v>
      </c>
      <c r="K61" s="927"/>
      <c r="L61" s="927"/>
      <c r="N61" s="404"/>
      <c r="O61" s="58"/>
      <c r="Q61" s="366"/>
      <c r="S61" s="58"/>
      <c r="W61" s="58"/>
      <c r="X61" s="60"/>
      <c r="Y61" s="48"/>
      <c r="Z61" s="62"/>
      <c r="AA61" s="370"/>
      <c r="AB61" s="370"/>
      <c r="AC61" s="370"/>
      <c r="AD61" s="62"/>
      <c r="AE61" s="371"/>
    </row>
    <row r="62" spans="1:31" s="931" customFormat="1" ht="16.350000000000001" customHeight="1" x14ac:dyDescent="0.25">
      <c r="A62" s="930"/>
      <c r="B62" s="840"/>
      <c r="D62" s="932"/>
      <c r="E62" s="933"/>
      <c r="F62" s="934"/>
      <c r="G62" s="933"/>
      <c r="H62" s="935"/>
      <c r="I62" s="933"/>
      <c r="J62" s="936"/>
      <c r="K62" s="937"/>
      <c r="L62" s="937"/>
      <c r="N62" s="938"/>
      <c r="O62" s="939"/>
      <c r="Q62" s="939"/>
      <c r="S62" s="935"/>
      <c r="W62" s="935"/>
      <c r="Y62" s="940"/>
      <c r="Z62" s="941"/>
      <c r="AA62" s="942"/>
      <c r="AB62" s="942"/>
      <c r="AC62" s="942"/>
      <c r="AD62" s="941"/>
      <c r="AE62" s="943"/>
    </row>
    <row r="63" spans="1:31" s="69" customFormat="1" ht="16.350000000000001" customHeight="1" x14ac:dyDescent="0.25">
      <c r="A63" s="926"/>
      <c r="B63" s="69" t="str">
        <f>+'Ghana-CostDriverInput'!B443</f>
        <v>2.3 Data Collection (5% checks)</v>
      </c>
      <c r="D63" s="932"/>
      <c r="E63" s="12"/>
      <c r="F63" s="627"/>
      <c r="G63" s="12"/>
      <c r="H63" s="8"/>
      <c r="I63" s="12"/>
      <c r="J63" s="33"/>
      <c r="K63" s="927"/>
      <c r="L63" s="927"/>
      <c r="N63" s="404"/>
      <c r="O63" s="58"/>
      <c r="Q63" s="366"/>
      <c r="S63" s="58"/>
      <c r="W63" s="58"/>
      <c r="X63" s="60"/>
      <c r="Y63" s="48"/>
      <c r="Z63" s="62"/>
      <c r="AA63" s="370"/>
      <c r="AB63" s="370"/>
      <c r="AC63" s="370"/>
      <c r="AD63" s="62"/>
      <c r="AE63" s="371"/>
    </row>
    <row r="64" spans="1:31" s="7" customFormat="1" ht="16.350000000000001" customHeight="1" x14ac:dyDescent="0.25">
      <c r="A64" s="454"/>
      <c r="B64" s="99" t="str">
        <f>+'Ghana-CostDriverInput'!B445</f>
        <v>2.3.1 Briefing for Supervisors Training of Trainers</v>
      </c>
      <c r="D64" s="928">
        <f>+F64*H64</f>
        <v>4384.1406575342462</v>
      </c>
      <c r="E64" s="365"/>
      <c r="F64" s="624">
        <f>H$5</f>
        <v>3.5</v>
      </c>
      <c r="G64" s="365"/>
      <c r="H64" s="923">
        <f>+'Ghana-CostDriverInput'!AB452</f>
        <v>1252.6116164383561</v>
      </c>
      <c r="I64" s="365"/>
      <c r="J64" s="367">
        <f t="shared" si="15"/>
        <v>4.6620791296975563E-4</v>
      </c>
      <c r="K64" s="368"/>
      <c r="L64" s="368"/>
      <c r="N64" s="404"/>
      <c r="O64" s="58"/>
      <c r="Q64" s="366"/>
      <c r="S64" s="41"/>
      <c r="W64" s="41"/>
      <c r="X64" s="4"/>
      <c r="Y64" s="49"/>
      <c r="Z64" s="59"/>
      <c r="AA64" s="370"/>
      <c r="AB64" s="370"/>
      <c r="AC64" s="370"/>
      <c r="AD64" s="59"/>
      <c r="AE64" s="371"/>
    </row>
    <row r="65" spans="1:31" s="7" customFormat="1" ht="16.350000000000001" customHeight="1" x14ac:dyDescent="0.25">
      <c r="A65" s="454"/>
      <c r="B65" s="99" t="str">
        <f>+'Ghana-CostDriverInput'!B454</f>
        <v>2.3.2 Briefing for data enumerators</v>
      </c>
      <c r="D65" s="928">
        <f>+F65*H65</f>
        <v>29755.629999999997</v>
      </c>
      <c r="E65" s="365"/>
      <c r="F65" s="624">
        <f t="shared" ref="F65:F77" si="24">H$5</f>
        <v>3.5</v>
      </c>
      <c r="G65" s="365"/>
      <c r="H65" s="923">
        <f>+'Ghana-CostDriverInput'!AB462</f>
        <v>8501.6085714285709</v>
      </c>
      <c r="I65" s="365"/>
      <c r="J65" s="367">
        <f t="shared" si="15"/>
        <v>3.1642028039315677E-3</v>
      </c>
      <c r="K65" s="368"/>
      <c r="L65" s="368"/>
      <c r="N65" s="404"/>
      <c r="O65" s="58"/>
      <c r="Q65" s="366"/>
      <c r="S65" s="41"/>
      <c r="W65" s="41"/>
      <c r="X65" s="4"/>
      <c r="Y65" s="49"/>
      <c r="Z65" s="59"/>
      <c r="AA65" s="370"/>
      <c r="AB65" s="370"/>
      <c r="AC65" s="370"/>
      <c r="AD65" s="59"/>
      <c r="AE65" s="371"/>
    </row>
    <row r="66" spans="1:31" s="7" customFormat="1" ht="16.350000000000001" customHeight="1" x14ac:dyDescent="0.25">
      <c r="A66" s="454"/>
      <c r="B66" s="99" t="str">
        <f>+'Ghana-CostDriverInput'!B464</f>
        <v>2.3.3 5% data collection</v>
      </c>
      <c r="D66" s="928">
        <f>+F66*H66</f>
        <v>101750.13</v>
      </c>
      <c r="E66" s="365"/>
      <c r="F66" s="624">
        <f t="shared" si="24"/>
        <v>3.5</v>
      </c>
      <c r="G66" s="365"/>
      <c r="H66" s="923">
        <f>+'Ghana-CostDriverInput'!AB470</f>
        <v>29071.465714285714</v>
      </c>
      <c r="I66" s="365"/>
      <c r="J66" s="367">
        <f t="shared" si="15"/>
        <v>1.0820071584651427E-2</v>
      </c>
      <c r="K66" s="368"/>
      <c r="L66" s="368"/>
      <c r="N66" s="404"/>
      <c r="O66" s="58"/>
      <c r="Q66" s="366"/>
      <c r="S66" s="41"/>
      <c r="W66" s="41"/>
      <c r="X66" s="4"/>
      <c r="Y66" s="49"/>
      <c r="Z66" s="59"/>
      <c r="AA66" s="370"/>
      <c r="AB66" s="370"/>
      <c r="AC66" s="370"/>
      <c r="AD66" s="59"/>
      <c r="AE66" s="371"/>
    </row>
    <row r="67" spans="1:31" s="7" customFormat="1" ht="16.350000000000001" customHeight="1" x14ac:dyDescent="0.25">
      <c r="A67" s="454"/>
      <c r="B67" s="99" t="str">
        <f>+'Ghana-CostDriverInput'!B473</f>
        <v>2.3.4 Stationary</v>
      </c>
      <c r="D67" s="928">
        <f>+F67*H67</f>
        <v>1993.1999999999998</v>
      </c>
      <c r="E67" s="365"/>
      <c r="F67" s="624">
        <f t="shared" si="24"/>
        <v>3.5</v>
      </c>
      <c r="G67" s="365"/>
      <c r="H67" s="923">
        <f>+'Ghana-CostDriverInput'!AB479</f>
        <v>569.48571428571427</v>
      </c>
      <c r="I67" s="365"/>
      <c r="J67" s="367">
        <f t="shared" si="15"/>
        <v>2.1195615850836969E-4</v>
      </c>
      <c r="K67" s="368"/>
      <c r="L67" s="368"/>
      <c r="N67" s="404"/>
      <c r="O67" s="58"/>
      <c r="Q67" s="366"/>
      <c r="S67" s="41"/>
      <c r="W67" s="41"/>
      <c r="X67" s="4"/>
      <c r="Y67" s="49"/>
      <c r="Z67" s="59"/>
      <c r="AA67" s="370"/>
      <c r="AB67" s="370"/>
      <c r="AC67" s="370"/>
      <c r="AD67" s="59"/>
      <c r="AE67" s="371"/>
    </row>
    <row r="68" spans="1:31" s="7" customFormat="1" ht="16.350000000000001" customHeight="1" x14ac:dyDescent="0.25">
      <c r="A68" s="454"/>
      <c r="B68" s="99" t="str">
        <f>+'Ghana-CostDriverInput'!B481</f>
        <v>2.3.5 Other costs incl Mobile Data Pilot</v>
      </c>
      <c r="D68" s="928">
        <f>+F68*H68</f>
        <v>170280.00000000003</v>
      </c>
      <c r="E68" s="365"/>
      <c r="F68" s="624">
        <f t="shared" si="24"/>
        <v>3.5</v>
      </c>
      <c r="G68" s="365"/>
      <c r="H68" s="923">
        <f>+'Ghana-CostDriverInput'!AB495</f>
        <v>48651.42857142858</v>
      </c>
      <c r="I68" s="365"/>
      <c r="J68" s="367">
        <f t="shared" si="15"/>
        <v>1.810751287919185E-2</v>
      </c>
      <c r="K68" s="368"/>
      <c r="L68" s="368"/>
      <c r="N68" s="404"/>
      <c r="O68" s="58"/>
      <c r="Q68" s="366"/>
      <c r="S68" s="41"/>
      <c r="W68" s="41"/>
      <c r="X68" s="4"/>
      <c r="Y68" s="49"/>
      <c r="Z68" s="59"/>
      <c r="AA68" s="370"/>
      <c r="AB68" s="370"/>
      <c r="AC68" s="370"/>
      <c r="AD68" s="59"/>
      <c r="AE68" s="371"/>
    </row>
    <row r="69" spans="1:31" s="69" customFormat="1" ht="16.350000000000001" customHeight="1" x14ac:dyDescent="0.25">
      <c r="A69" s="926"/>
      <c r="B69" s="69" t="s">
        <v>542</v>
      </c>
      <c r="D69" s="8">
        <f>+SUM(D64:D68)</f>
        <v>308163.10065753432</v>
      </c>
      <c r="E69" s="12"/>
      <c r="F69" s="627">
        <f t="shared" si="24"/>
        <v>3.5</v>
      </c>
      <c r="G69" s="12"/>
      <c r="H69" s="8">
        <f>+SUM(H64:H68)</f>
        <v>88046.600187866934</v>
      </c>
      <c r="I69" s="12"/>
      <c r="J69" s="33">
        <f t="shared" si="15"/>
        <v>3.2769951339252971E-2</v>
      </c>
      <c r="K69" s="927"/>
      <c r="L69" s="927"/>
      <c r="N69" s="404"/>
      <c r="O69" s="58"/>
      <c r="Q69" s="366"/>
      <c r="S69" s="58"/>
      <c r="W69" s="58"/>
      <c r="X69" s="60"/>
      <c r="Y69" s="48"/>
      <c r="Z69" s="62"/>
      <c r="AA69" s="370"/>
      <c r="AB69" s="370"/>
      <c r="AC69" s="370"/>
      <c r="AD69" s="62"/>
      <c r="AE69" s="371"/>
    </row>
    <row r="70" spans="1:31" s="931" customFormat="1" ht="16.350000000000001" customHeight="1" x14ac:dyDescent="0.25">
      <c r="A70" s="930"/>
      <c r="B70" s="840"/>
      <c r="D70" s="932"/>
      <c r="E70" s="933"/>
      <c r="F70" s="934"/>
      <c r="G70" s="933"/>
      <c r="H70" s="935"/>
      <c r="I70" s="933"/>
      <c r="J70" s="936"/>
      <c r="K70" s="937"/>
      <c r="L70" s="937"/>
      <c r="N70" s="938"/>
      <c r="O70" s="939"/>
      <c r="Q70" s="939"/>
      <c r="S70" s="935"/>
      <c r="W70" s="935"/>
      <c r="Y70" s="940"/>
      <c r="Z70" s="941"/>
      <c r="AA70" s="942"/>
      <c r="AB70" s="942"/>
      <c r="AC70" s="942"/>
      <c r="AD70" s="941"/>
      <c r="AE70" s="943"/>
    </row>
    <row r="71" spans="1:31" s="7" customFormat="1" ht="16.350000000000001" customHeight="1" x14ac:dyDescent="0.25">
      <c r="A71" s="454"/>
      <c r="B71" s="99" t="str">
        <f>+'Ghana-CostDriverInput'!B499</f>
        <v>2.4.1 Training of data entry team TOT</v>
      </c>
      <c r="D71" s="928">
        <f t="shared" ref="D71:D77" si="25">+F71*H71</f>
        <v>2939.8940000000002</v>
      </c>
      <c r="E71" s="365"/>
      <c r="F71" s="624">
        <f t="shared" si="24"/>
        <v>3.5</v>
      </c>
      <c r="G71" s="365"/>
      <c r="H71" s="923">
        <f>+'Ghana-CostDriverInput'!AB509</f>
        <v>839.9697142857143</v>
      </c>
      <c r="I71" s="365"/>
      <c r="J71" s="367">
        <f t="shared" si="15"/>
        <v>3.1262725198766056E-4</v>
      </c>
      <c r="K71" s="368"/>
      <c r="L71" s="368"/>
      <c r="N71" s="404"/>
      <c r="O71" s="58"/>
      <c r="Q71" s="366"/>
      <c r="S71" s="41"/>
      <c r="W71" s="41"/>
      <c r="X71" s="4"/>
      <c r="Y71" s="49"/>
      <c r="Z71" s="59"/>
      <c r="AA71" s="370"/>
      <c r="AB71" s="370"/>
      <c r="AC71" s="370"/>
      <c r="AD71" s="59"/>
      <c r="AE71" s="371"/>
    </row>
    <row r="72" spans="1:31" s="7" customFormat="1" ht="16.350000000000001" customHeight="1" x14ac:dyDescent="0.25">
      <c r="A72" s="454"/>
      <c r="B72" s="99" t="str">
        <f>+'Ghana-CostDriverInput'!B511</f>
        <v>2.4.2. Recruitment and training of data entry clerks</v>
      </c>
      <c r="D72" s="928">
        <f t="shared" si="25"/>
        <v>5296.27</v>
      </c>
      <c r="E72" s="365"/>
      <c r="F72" s="624">
        <f t="shared" si="24"/>
        <v>3.5</v>
      </c>
      <c r="G72" s="365"/>
      <c r="H72" s="923">
        <f>+'Ghana-CostDriverInput'!AB518</f>
        <v>1513.2200000000003</v>
      </c>
      <c r="I72" s="365"/>
      <c r="J72" s="367">
        <f t="shared" si="15"/>
        <v>5.6320341341718012E-4</v>
      </c>
      <c r="K72" s="368"/>
      <c r="L72" s="368"/>
      <c r="N72" s="404"/>
      <c r="O72" s="58"/>
      <c r="Q72" s="366"/>
      <c r="S72" s="41"/>
      <c r="W72" s="41"/>
      <c r="X72" s="4"/>
      <c r="Y72" s="49"/>
      <c r="Z72" s="59"/>
      <c r="AA72" s="370"/>
      <c r="AB72" s="370"/>
      <c r="AC72" s="370"/>
      <c r="AD72" s="59"/>
      <c r="AE72" s="371"/>
    </row>
    <row r="73" spans="1:31" s="7" customFormat="1" ht="16.350000000000001" customHeight="1" x14ac:dyDescent="0.25">
      <c r="A73" s="454"/>
      <c r="B73" s="99" t="str">
        <f>+'Ghana-CostDriverInput'!B521</f>
        <v>2.4.3 Data entry</v>
      </c>
      <c r="D73" s="928">
        <f t="shared" si="25"/>
        <v>224459.34246575341</v>
      </c>
      <c r="E73" s="365"/>
      <c r="F73" s="624">
        <f t="shared" si="24"/>
        <v>3.5</v>
      </c>
      <c r="G73" s="365"/>
      <c r="H73" s="923">
        <f>+'Ghana-CostDriverInput'!AB530</f>
        <v>64131.240704500975</v>
      </c>
      <c r="I73" s="365"/>
      <c r="J73" s="367">
        <f t="shared" si="15"/>
        <v>2.3868924327892671E-2</v>
      </c>
      <c r="K73" s="368"/>
      <c r="L73" s="368"/>
      <c r="N73" s="404"/>
      <c r="O73" s="58"/>
      <c r="Q73" s="366"/>
      <c r="S73" s="41"/>
      <c r="W73" s="41"/>
      <c r="X73" s="4"/>
      <c r="Y73" s="49"/>
      <c r="Z73" s="59"/>
      <c r="AA73" s="370"/>
      <c r="AB73" s="370"/>
      <c r="AC73" s="370"/>
      <c r="AD73" s="59"/>
      <c r="AE73" s="371"/>
    </row>
    <row r="74" spans="1:31" s="7" customFormat="1" ht="16.350000000000001" customHeight="1" x14ac:dyDescent="0.25">
      <c r="A74" s="454"/>
      <c r="B74" s="99" t="str">
        <f>+'Ghana-CostDriverInput'!B532</f>
        <v>2.4.4 Data Analysis and correction review w/ AMF</v>
      </c>
      <c r="D74" s="928">
        <f t="shared" si="25"/>
        <v>4273.0104109589047</v>
      </c>
      <c r="E74" s="365"/>
      <c r="F74" s="624">
        <f t="shared" si="24"/>
        <v>3.5</v>
      </c>
      <c r="G74" s="365"/>
      <c r="H74" s="923">
        <f>'Ghana-CostDriverInput'!AB536</f>
        <v>1220.8601174168298</v>
      </c>
      <c r="I74" s="365"/>
      <c r="J74" s="367">
        <f t="shared" si="15"/>
        <v>4.5439036322151286E-4</v>
      </c>
      <c r="K74" s="368"/>
      <c r="L74" s="368"/>
      <c r="N74" s="404"/>
      <c r="O74" s="58"/>
      <c r="Q74" s="366"/>
      <c r="S74" s="41"/>
      <c r="W74" s="41"/>
      <c r="X74" s="4"/>
      <c r="Y74" s="49"/>
      <c r="Z74" s="59"/>
      <c r="AA74" s="370"/>
      <c r="AB74" s="370"/>
      <c r="AC74" s="370"/>
      <c r="AD74" s="59"/>
      <c r="AE74" s="371"/>
    </row>
    <row r="75" spans="1:31" s="7" customFormat="1" ht="16.350000000000001" customHeight="1" x14ac:dyDescent="0.25">
      <c r="A75" s="454"/>
      <c r="B75" s="99" t="str">
        <f>+'Ghana-CostDriverInput'!B538</f>
        <v>2.4.5. Verification and final data correction</v>
      </c>
      <c r="D75" s="928">
        <f t="shared" si="25"/>
        <v>4488.829205479452</v>
      </c>
      <c r="E75" s="365"/>
      <c r="F75" s="624">
        <f t="shared" si="24"/>
        <v>3.5</v>
      </c>
      <c r="G75" s="365"/>
      <c r="H75" s="923">
        <f>+'Ghana-CostDriverInput'!AB545</f>
        <v>1282.5226301369862</v>
      </c>
      <c r="I75" s="365"/>
      <c r="J75" s="367">
        <f t="shared" si="15"/>
        <v>4.7734045484326806E-4</v>
      </c>
      <c r="K75" s="368"/>
      <c r="L75" s="368"/>
      <c r="N75" s="404"/>
      <c r="O75" s="58"/>
      <c r="Q75" s="366"/>
      <c r="S75" s="41"/>
      <c r="W75" s="41"/>
      <c r="X75" s="4"/>
      <c r="Y75" s="49"/>
      <c r="Z75" s="59"/>
      <c r="AA75" s="370"/>
      <c r="AB75" s="370"/>
      <c r="AC75" s="370"/>
      <c r="AD75" s="59"/>
      <c r="AE75" s="371"/>
    </row>
    <row r="76" spans="1:31" s="7" customFormat="1" ht="16.350000000000001" customHeight="1" x14ac:dyDescent="0.25">
      <c r="A76" s="454"/>
      <c r="B76" s="99" t="str">
        <f>+'Ghana-CostDriverInput'!B547</f>
        <v>2.4.6 Report on PDCU Exercise</v>
      </c>
      <c r="D76" s="928">
        <f t="shared" si="25"/>
        <v>6712.3287671232883</v>
      </c>
      <c r="E76" s="365"/>
      <c r="F76" s="624">
        <f t="shared" si="24"/>
        <v>3.5</v>
      </c>
      <c r="G76" s="365"/>
      <c r="H76" s="923">
        <f>+'Ghana-CostDriverInput'!AB566</f>
        <v>1917.8082191780823</v>
      </c>
      <c r="I76" s="365"/>
      <c r="J76" s="367">
        <f t="shared" si="15"/>
        <v>7.1378658444946484E-4</v>
      </c>
      <c r="K76" s="368"/>
      <c r="L76" s="368"/>
      <c r="N76" s="404"/>
      <c r="O76" s="58"/>
      <c r="Q76" s="366"/>
      <c r="S76" s="41"/>
      <c r="W76" s="41"/>
      <c r="X76" s="4"/>
      <c r="Y76" s="49"/>
      <c r="Z76" s="59"/>
      <c r="AA76" s="370"/>
      <c r="AB76" s="370"/>
      <c r="AC76" s="370"/>
      <c r="AD76" s="59"/>
      <c r="AE76" s="371"/>
    </row>
    <row r="77" spans="1:31" s="7" customFormat="1" ht="16.350000000000001" customHeight="1" x14ac:dyDescent="0.25">
      <c r="A77" s="454"/>
      <c r="B77" s="69" t="s">
        <v>556</v>
      </c>
      <c r="D77" s="924">
        <f t="shared" si="25"/>
        <v>248169.67484931508</v>
      </c>
      <c r="E77" s="365"/>
      <c r="F77" s="627">
        <f t="shared" si="24"/>
        <v>3.5</v>
      </c>
      <c r="G77" s="365"/>
      <c r="H77" s="8">
        <f>+SUM(H71:H76)</f>
        <v>70905.621385518592</v>
      </c>
      <c r="I77" s="365"/>
      <c r="J77" s="33">
        <f t="shared" si="15"/>
        <v>2.6390272395811758E-2</v>
      </c>
      <c r="K77" s="368"/>
      <c r="L77" s="368"/>
      <c r="N77" s="404"/>
      <c r="O77" s="58"/>
      <c r="Q77" s="366"/>
      <c r="S77" s="41"/>
      <c r="W77" s="41"/>
      <c r="X77" s="4"/>
      <c r="Y77" s="49"/>
      <c r="Z77" s="59"/>
      <c r="AA77" s="370"/>
      <c r="AB77" s="370"/>
      <c r="AC77" s="370"/>
      <c r="AD77" s="59"/>
      <c r="AE77" s="371"/>
    </row>
    <row r="78" spans="1:31" s="7" customFormat="1" ht="16.350000000000001" customHeight="1" x14ac:dyDescent="0.25">
      <c r="A78" s="454"/>
      <c r="B78" s="383"/>
      <c r="D78" s="402"/>
      <c r="E78" s="365"/>
      <c r="F78" s="624"/>
      <c r="G78" s="365"/>
      <c r="H78" s="32"/>
      <c r="I78" s="365"/>
      <c r="J78" s="367"/>
      <c r="K78" s="368"/>
      <c r="L78" s="368"/>
      <c r="N78" s="58"/>
      <c r="O78" s="58"/>
      <c r="Q78" s="58"/>
      <c r="S78" s="58"/>
      <c r="W78" s="41"/>
      <c r="X78" s="4"/>
      <c r="Y78" s="49"/>
      <c r="Z78" s="59"/>
      <c r="AA78" s="370"/>
      <c r="AB78" s="370"/>
      <c r="AC78" s="370"/>
      <c r="AD78" s="59"/>
      <c r="AE78" s="371"/>
    </row>
    <row r="79" spans="1:31" s="312" customFormat="1" ht="16.350000000000001" customHeight="1" thickBot="1" x14ac:dyDescent="0.3">
      <c r="A79" s="962"/>
      <c r="B79" s="384" t="s">
        <v>559</v>
      </c>
      <c r="D79" s="385">
        <f>+D77+D69+D61</f>
        <v>784973.33912346954</v>
      </c>
      <c r="E79" s="385"/>
      <c r="F79" s="946">
        <f t="shared" ref="F79:F86" si="26">H$5</f>
        <v>3.5</v>
      </c>
      <c r="G79" s="385"/>
      <c r="H79" s="385">
        <f>+H77+H69+H61</f>
        <v>224278.09689241985</v>
      </c>
      <c r="I79" s="387"/>
      <c r="J79" s="388">
        <f>H79/$H$8</f>
        <v>8.3473777589854678E-2</v>
      </c>
      <c r="K79" s="389"/>
      <c r="L79" s="328"/>
      <c r="N79" s="385">
        <f>+N77+N69+N61</f>
        <v>0</v>
      </c>
      <c r="O79" s="387"/>
      <c r="P79" s="385">
        <f>+P77+P69+P61</f>
        <v>0</v>
      </c>
      <c r="Q79" s="385">
        <f>+Q77+Q69+Q61</f>
        <v>0</v>
      </c>
      <c r="S79" s="385">
        <f>+S77+S69+S61</f>
        <v>0</v>
      </c>
      <c r="T79" s="313"/>
      <c r="U79" s="313"/>
      <c r="V79" s="385">
        <f>+V77+V69+V61</f>
        <v>0</v>
      </c>
      <c r="W79" s="385">
        <f>+W77+W69+W61</f>
        <v>0</v>
      </c>
      <c r="X79" s="387"/>
      <c r="Y79" s="385">
        <f>+Y77+Y69+Y61</f>
        <v>0</v>
      </c>
      <c r="AA79" s="393"/>
      <c r="AB79" s="387"/>
      <c r="AC79" s="385">
        <f>+AC77+AC69+AC61</f>
        <v>0</v>
      </c>
      <c r="AE79" s="395" t="str">
        <f>IF(W79=0,"",((W79-H79)/H79))</f>
        <v/>
      </c>
    </row>
    <row r="80" spans="1:31" s="6" customFormat="1" ht="16.350000000000001" customHeight="1" x14ac:dyDescent="0.25">
      <c r="A80" s="454"/>
      <c r="B80" s="399"/>
      <c r="D80" s="64"/>
      <c r="E80" s="7"/>
      <c r="F80" s="629"/>
      <c r="G80" s="7"/>
      <c r="H80" s="8"/>
      <c r="I80" s="8"/>
      <c r="J80" s="33"/>
      <c r="K80" s="12"/>
      <c r="L80" s="17"/>
      <c r="N80" s="8"/>
      <c r="O80" s="58"/>
      <c r="Q80" s="8"/>
      <c r="S80" s="8"/>
      <c r="T80" s="7"/>
      <c r="U80" s="7"/>
      <c r="V80" s="7"/>
      <c r="W80" s="8"/>
      <c r="X80" s="8"/>
      <c r="Y80" s="8"/>
      <c r="AA80" s="8"/>
      <c r="AB80" s="8"/>
      <c r="AC80" s="8"/>
      <c r="AE80" s="67"/>
    </row>
    <row r="81" spans="1:33" s="312" customFormat="1" ht="16.350000000000001" customHeight="1" thickBot="1" x14ac:dyDescent="0.3">
      <c r="A81" s="454"/>
      <c r="B81" s="407" t="s">
        <v>572</v>
      </c>
      <c r="D81" s="385">
        <f>+D48+D57+D63+D71+D79</f>
        <v>787913.23312346952</v>
      </c>
      <c r="E81" s="385"/>
      <c r="F81" s="946">
        <f t="shared" si="26"/>
        <v>3.5</v>
      </c>
      <c r="G81" s="408"/>
      <c r="H81" s="385">
        <f>+'Ghana-CostDriverInput'!AB577</f>
        <v>226363.40532169683</v>
      </c>
      <c r="I81" s="389"/>
      <c r="J81" s="388">
        <f>H81/$H$8</f>
        <v>8.4249905862938831E-2</v>
      </c>
      <c r="K81" s="409"/>
      <c r="L81" s="409"/>
      <c r="N81" s="410">
        <v>0</v>
      </c>
      <c r="O81" s="387"/>
      <c r="Q81" s="387">
        <v>0</v>
      </c>
      <c r="S81" s="314">
        <f>N81-Q81</f>
        <v>0</v>
      </c>
      <c r="T81" s="313"/>
      <c r="U81" s="313">
        <v>3.5</v>
      </c>
      <c r="V81" s="313"/>
      <c r="W81" s="314">
        <f>S81/U81</f>
        <v>0</v>
      </c>
      <c r="X81" s="313"/>
      <c r="Y81" s="411" t="e">
        <f>W81/$Q$8</f>
        <v>#DIV/0!</v>
      </c>
      <c r="AA81" s="412" t="str">
        <f>IF(S81=0,"",S81-D81)</f>
        <v/>
      </c>
      <c r="AB81" s="412"/>
      <c r="AC81" s="412" t="str">
        <f>IF(W81=0,"",W81-H81)</f>
        <v/>
      </c>
      <c r="AE81" s="413" t="str">
        <f>IF(S81=0,"",((S81-D81)/D81))</f>
        <v/>
      </c>
    </row>
    <row r="82" spans="1:33" s="6" customFormat="1" ht="16.350000000000001" customHeight="1" x14ac:dyDescent="0.25">
      <c r="A82" s="454"/>
      <c r="B82" s="399"/>
      <c r="D82" s="405"/>
      <c r="E82" s="365"/>
      <c r="F82" s="624"/>
      <c r="G82" s="365"/>
      <c r="H82" s="32"/>
      <c r="I82" s="365"/>
      <c r="J82" s="367"/>
      <c r="K82" s="368"/>
      <c r="L82" s="368"/>
      <c r="N82" s="397"/>
      <c r="O82" s="58"/>
      <c r="Q82" s="58"/>
      <c r="S82" s="41"/>
      <c r="T82" s="7"/>
      <c r="U82" s="7"/>
      <c r="V82" s="7"/>
      <c r="W82" s="41"/>
      <c r="X82" s="4"/>
      <c r="Y82" s="49"/>
      <c r="Z82" s="59"/>
      <c r="AA82" s="370"/>
      <c r="AB82" s="370"/>
      <c r="AC82" s="370"/>
      <c r="AD82" s="59"/>
      <c r="AE82" s="371"/>
    </row>
    <row r="83" spans="1:33" ht="16.350000000000001" customHeight="1" thickBot="1" x14ac:dyDescent="0.3">
      <c r="A83" s="454"/>
      <c r="B83" s="414" t="s">
        <v>120</v>
      </c>
      <c r="C83" s="202"/>
      <c r="D83" s="415">
        <f>SUM(D43+D79)</f>
        <v>951951.55959949689</v>
      </c>
      <c r="E83" s="415"/>
      <c r="F83" s="947">
        <f t="shared" si="26"/>
        <v>3.5</v>
      </c>
      <c r="G83" s="203"/>
      <c r="H83" s="416">
        <f>SUM(H21+H34+H39+H79+H81)</f>
        <v>498349.56520726735</v>
      </c>
      <c r="I83" s="417"/>
      <c r="J83" s="418">
        <f>H83/$H$8</f>
        <v>0.18548008630582499</v>
      </c>
      <c r="K83" s="419"/>
      <c r="L83" s="204"/>
      <c r="M83" s="202"/>
      <c r="N83" s="420">
        <f>SUM(N43+N79)</f>
        <v>0</v>
      </c>
      <c r="O83" s="421"/>
      <c r="P83" s="202"/>
      <c r="Q83" s="420">
        <f>SUM(Q43+Q79)</f>
        <v>0</v>
      </c>
      <c r="R83" s="202"/>
      <c r="S83" s="420">
        <f>SUM(S43+S79)</f>
        <v>0</v>
      </c>
      <c r="T83" s="203"/>
      <c r="U83" s="203"/>
      <c r="V83" s="203"/>
      <c r="W83" s="416">
        <f>SUM(W21+W34+W43+W79)</f>
        <v>0</v>
      </c>
      <c r="X83" s="417"/>
      <c r="Y83" s="422">
        <f>SUM(Y21+Y34+Y43+Y79)</f>
        <v>0</v>
      </c>
      <c r="Z83" s="202"/>
      <c r="AA83" s="423"/>
      <c r="AB83" s="424"/>
      <c r="AC83" s="425"/>
      <c r="AD83" s="202"/>
      <c r="AE83" s="426" t="str">
        <f>AE81</f>
        <v/>
      </c>
      <c r="AG83" s="59"/>
    </row>
    <row r="84" spans="1:33" ht="16.350000000000001" customHeight="1" x14ac:dyDescent="0.25">
      <c r="B84" s="13"/>
      <c r="D84" s="34"/>
      <c r="E84" s="4"/>
      <c r="F84" s="624"/>
      <c r="G84" s="4"/>
      <c r="H84" s="4"/>
      <c r="I84" s="4"/>
      <c r="J84" s="35"/>
      <c r="N84" s="32"/>
      <c r="O84" s="41"/>
      <c r="Q84" s="32"/>
      <c r="S84" s="32"/>
      <c r="T84" s="4"/>
      <c r="U84" s="4"/>
      <c r="V84" s="4"/>
      <c r="W84" s="32"/>
      <c r="X84" s="4"/>
      <c r="Y84" s="52"/>
      <c r="AA84" s="56"/>
      <c r="AB84" s="56"/>
      <c r="AC84" s="56"/>
      <c r="AE84" s="54"/>
      <c r="AG84" s="59"/>
    </row>
    <row r="85" spans="1:33" s="6" customFormat="1" ht="16.350000000000001" customHeight="1" x14ac:dyDescent="0.25">
      <c r="A85" s="453"/>
      <c r="B85" s="399" t="s">
        <v>560</v>
      </c>
      <c r="D85" s="924">
        <f>+F85*H85</f>
        <v>808117.35699845769</v>
      </c>
      <c r="E85" s="365"/>
      <c r="F85" s="627">
        <f t="shared" si="26"/>
        <v>3.5</v>
      </c>
      <c r="G85" s="12"/>
      <c r="H85" s="923">
        <f>+'Ghana-CostDriverInput'!AB580</f>
        <v>230890.67342813077</v>
      </c>
      <c r="I85" s="12"/>
      <c r="J85" s="33">
        <f>H85/$H$8</f>
        <v>8.5934903980197611E-2</v>
      </c>
      <c r="K85" s="368"/>
      <c r="L85" s="368"/>
      <c r="N85" s="404">
        <v>0</v>
      </c>
      <c r="O85" s="58"/>
      <c r="Q85" s="366">
        <v>0</v>
      </c>
      <c r="S85" s="41">
        <f>N85-Q85</f>
        <v>0</v>
      </c>
      <c r="T85" s="7"/>
      <c r="U85" s="7">
        <v>3.5</v>
      </c>
      <c r="V85" s="7"/>
      <c r="W85" s="41" t="str">
        <f>IF(S85=0,"",S85/H$5)</f>
        <v/>
      </c>
      <c r="X85" s="4"/>
      <c r="Y85" s="49"/>
      <c r="Z85" s="59"/>
      <c r="AA85" s="370" t="str">
        <f>IF(S85=0,"",S85-D85)</f>
        <v/>
      </c>
      <c r="AB85" s="370"/>
      <c r="AC85" s="370"/>
      <c r="AD85" s="59"/>
      <c r="AE85" s="371" t="str">
        <f>IF(S85=0,"",((S85-D85)/D85))</f>
        <v/>
      </c>
    </row>
    <row r="86" spans="1:33" s="6" customFormat="1" ht="16.350000000000001" customHeight="1" x14ac:dyDescent="0.25">
      <c r="A86" s="453"/>
      <c r="B86" s="399" t="s">
        <v>561</v>
      </c>
      <c r="D86" s="924">
        <f>+F86*H86</f>
        <v>824279.70413842681</v>
      </c>
      <c r="E86" s="365"/>
      <c r="F86" s="627">
        <f t="shared" si="26"/>
        <v>3.5</v>
      </c>
      <c r="G86" s="12"/>
      <c r="H86" s="923">
        <f>+'Ghana-CostDriverInput'!AB581</f>
        <v>235508.48689669339</v>
      </c>
      <c r="I86" s="12"/>
      <c r="J86" s="33">
        <f>H86/$H$8</f>
        <v>8.7653602059801564E-2</v>
      </c>
      <c r="K86" s="368"/>
      <c r="L86" s="368"/>
      <c r="N86" s="404">
        <v>0</v>
      </c>
      <c r="O86" s="58"/>
      <c r="Q86" s="366">
        <v>0</v>
      </c>
      <c r="S86" s="41">
        <f>N86-Q86</f>
        <v>0</v>
      </c>
      <c r="T86" s="7"/>
      <c r="U86" s="7">
        <v>3.5</v>
      </c>
      <c r="V86" s="7"/>
      <c r="W86" s="41" t="str">
        <f>IF(S86=0,"",S86/H$5)</f>
        <v/>
      </c>
      <c r="X86" s="4"/>
      <c r="Y86" s="49"/>
      <c r="Z86" s="59"/>
      <c r="AA86" s="370" t="str">
        <f>IF(S86=0,"",S86-D86)</f>
        <v/>
      </c>
      <c r="AB86" s="370"/>
      <c r="AC86" s="370"/>
      <c r="AD86" s="59"/>
      <c r="AE86" s="371" t="str">
        <f>IF(S86=0,"",((S86-D86)/D86))</f>
        <v/>
      </c>
    </row>
    <row r="87" spans="1:33" s="6" customFormat="1" ht="16.350000000000001" customHeight="1" thickBot="1" x14ac:dyDescent="0.3">
      <c r="A87" s="453"/>
      <c r="B87" s="414" t="s">
        <v>121</v>
      </c>
      <c r="C87" s="202"/>
      <c r="D87" s="415">
        <f>SUM(D85:D86)</f>
        <v>1632397.0611368846</v>
      </c>
      <c r="E87" s="205"/>
      <c r="F87" s="415"/>
      <c r="G87" s="205"/>
      <c r="H87" s="420">
        <f>SUM(H85:H86)</f>
        <v>466399.16032482416</v>
      </c>
      <c r="I87" s="421"/>
      <c r="J87" s="418">
        <f>H87/$H$8</f>
        <v>0.17358850603999917</v>
      </c>
      <c r="K87" s="427"/>
      <c r="L87" s="204"/>
      <c r="M87" s="202"/>
      <c r="N87" s="420">
        <f>SUM(N85:N86)</f>
        <v>0</v>
      </c>
      <c r="O87" s="421"/>
      <c r="P87" s="202"/>
      <c r="Q87" s="420">
        <f>SUM(Q85:Q86)</f>
        <v>0</v>
      </c>
      <c r="R87" s="202"/>
      <c r="S87" s="420">
        <f>SUM(S85:S86)</f>
        <v>0</v>
      </c>
      <c r="T87" s="205"/>
      <c r="U87" s="205"/>
      <c r="V87" s="205"/>
      <c r="W87" s="420">
        <f>SUM(W85:W86)</f>
        <v>0</v>
      </c>
      <c r="X87" s="421"/>
      <c r="Y87" s="422">
        <f>SUM(Y85:Y86)</f>
        <v>0</v>
      </c>
      <c r="Z87" s="202"/>
      <c r="AA87" s="423">
        <f>SUM(AA85:AA86)</f>
        <v>0</v>
      </c>
      <c r="AB87" s="424"/>
      <c r="AC87" s="425"/>
      <c r="AD87" s="202"/>
      <c r="AE87" s="426">
        <f>IF(COUNT(S85:S86)=2,((S87-D87)/D87),"")</f>
        <v>-1</v>
      </c>
    </row>
    <row r="88" spans="1:33" s="6" customFormat="1" ht="16.350000000000001" customHeight="1" x14ac:dyDescent="0.25">
      <c r="A88" s="453"/>
      <c r="B88" s="399"/>
      <c r="D88" s="428"/>
      <c r="E88" s="429"/>
      <c r="F88" s="630"/>
      <c r="G88" s="429"/>
      <c r="H88" s="429"/>
      <c r="I88" s="429"/>
      <c r="J88" s="430"/>
      <c r="K88" s="429"/>
      <c r="L88" s="429"/>
      <c r="N88" s="41"/>
      <c r="O88" s="41"/>
      <c r="Q88" s="41"/>
      <c r="S88" s="41"/>
      <c r="T88" s="7"/>
      <c r="U88" s="7"/>
      <c r="V88" s="7"/>
      <c r="W88" s="41"/>
      <c r="X88" s="7"/>
      <c r="Y88" s="53"/>
      <c r="AA88" s="57"/>
      <c r="AB88" s="57"/>
      <c r="AC88" s="57"/>
      <c r="AE88" s="55"/>
    </row>
    <row r="89" spans="1:33" s="6" customFormat="1" ht="16.350000000000001" customHeight="1" x14ac:dyDescent="0.25">
      <c r="A89" s="453"/>
      <c r="B89" s="399" t="s">
        <v>562</v>
      </c>
      <c r="D89" s="924">
        <f>+F89*H89</f>
        <v>840765.29822119535</v>
      </c>
      <c r="E89" s="365"/>
      <c r="F89" s="627">
        <f t="shared" ref="F89" si="27">H$5</f>
        <v>3.5</v>
      </c>
      <c r="G89" s="12"/>
      <c r="H89" s="923">
        <f>+'Ghana-CostDriverInput'!AB584</f>
        <v>240218.65663462726</v>
      </c>
      <c r="I89" s="12"/>
      <c r="J89" s="33">
        <f>H89/$H$8</f>
        <v>8.9406674100997605E-2</v>
      </c>
      <c r="K89" s="368"/>
      <c r="L89" s="368"/>
      <c r="N89" s="404">
        <v>0</v>
      </c>
      <c r="O89" s="58"/>
      <c r="Q89" s="366">
        <v>0</v>
      </c>
      <c r="S89" s="41">
        <f>N89-Q89</f>
        <v>0</v>
      </c>
      <c r="T89" s="7"/>
      <c r="U89" s="7">
        <v>3.5</v>
      </c>
      <c r="V89" s="7"/>
      <c r="W89" s="41" t="str">
        <f>IF(S89=0,"",S89/H$5)</f>
        <v/>
      </c>
      <c r="X89" s="4"/>
      <c r="Y89" s="49"/>
      <c r="Z89" s="59"/>
      <c r="AA89" s="370" t="str">
        <f>IF(S89=0,"",S89-D89)</f>
        <v/>
      </c>
      <c r="AB89" s="370"/>
      <c r="AC89" s="370"/>
      <c r="AD89" s="59"/>
      <c r="AE89" s="371" t="str">
        <f>IF(S89=0,"",((S89-D89)/D89))</f>
        <v/>
      </c>
    </row>
    <row r="90" spans="1:33" s="6" customFormat="1" ht="16.350000000000001" customHeight="1" thickBot="1" x14ac:dyDescent="0.3">
      <c r="A90" s="453"/>
      <c r="B90" s="414" t="s">
        <v>122</v>
      </c>
      <c r="C90" s="202"/>
      <c r="D90" s="415">
        <f>SUM(D89:D89)</f>
        <v>840765.29822119535</v>
      </c>
      <c r="E90" s="205"/>
      <c r="F90" s="415"/>
      <c r="G90" s="205"/>
      <c r="H90" s="420">
        <f>SUM(H89:H89)</f>
        <v>240218.65663462726</v>
      </c>
      <c r="I90" s="421"/>
      <c r="J90" s="418">
        <f>H90/$H$8</f>
        <v>8.9406674100997605E-2</v>
      </c>
      <c r="K90" s="427"/>
      <c r="L90" s="204"/>
      <c r="M90" s="202"/>
      <c r="N90" s="420">
        <f>SUM(N89:N89)</f>
        <v>0</v>
      </c>
      <c r="O90" s="421"/>
      <c r="P90" s="202"/>
      <c r="Q90" s="420">
        <f>SUM(Q89:Q89)</f>
        <v>0</v>
      </c>
      <c r="R90" s="202"/>
      <c r="S90" s="420">
        <f>SUM(S89:S89)</f>
        <v>0</v>
      </c>
      <c r="T90" s="205"/>
      <c r="U90" s="205"/>
      <c r="V90" s="205"/>
      <c r="W90" s="420">
        <f>SUM(W89:W89)</f>
        <v>0</v>
      </c>
      <c r="X90" s="421"/>
      <c r="Y90" s="422">
        <f>SUM(Y89:Y89)</f>
        <v>0</v>
      </c>
      <c r="Z90" s="202"/>
      <c r="AA90" s="423">
        <f>SUM(AA89:AA89)</f>
        <v>0</v>
      </c>
      <c r="AB90" s="424"/>
      <c r="AC90" s="423">
        <f>SUM(AC89:AC89)</f>
        <v>0</v>
      </c>
      <c r="AD90" s="202"/>
      <c r="AE90" s="426" t="str">
        <f>IF(COUNT(S89:S89)=2,((S90-D90)/D90),"")</f>
        <v/>
      </c>
    </row>
    <row r="91" spans="1:33" s="6" customFormat="1" ht="16.350000000000001" customHeight="1" x14ac:dyDescent="0.25">
      <c r="A91" s="453"/>
      <c r="B91" s="399"/>
      <c r="D91" s="428"/>
      <c r="E91" s="429"/>
      <c r="F91" s="630"/>
      <c r="G91" s="429"/>
      <c r="H91" s="429"/>
      <c r="I91" s="429"/>
      <c r="J91" s="430"/>
      <c r="K91" s="429"/>
      <c r="L91" s="429"/>
      <c r="N91" s="41"/>
      <c r="O91" s="41"/>
      <c r="Q91" s="41"/>
      <c r="S91" s="41"/>
      <c r="T91" s="7"/>
      <c r="U91" s="7"/>
      <c r="V91" s="7"/>
      <c r="W91" s="41"/>
      <c r="X91" s="7"/>
      <c r="Y91" s="53"/>
      <c r="AA91" s="57"/>
      <c r="AB91" s="57"/>
      <c r="AC91" s="57"/>
      <c r="AE91" s="55"/>
    </row>
    <row r="92" spans="1:33" s="6" customFormat="1" ht="16.350000000000001" customHeight="1" thickBot="1" x14ac:dyDescent="0.3">
      <c r="A92" s="453"/>
      <c r="B92" s="431" t="s">
        <v>123</v>
      </c>
      <c r="D92" s="432">
        <f>D90+D87+D81+D79+D54</f>
        <v>4077326.0978013007</v>
      </c>
      <c r="E92" s="7"/>
      <c r="F92" s="627">
        <f t="shared" ref="F92" si="28">H$5</f>
        <v>3.5</v>
      </c>
      <c r="G92" s="7"/>
      <c r="H92" s="432">
        <f>H90+H87+H81+H79+H54</f>
        <v>1166195.6523725055</v>
      </c>
      <c r="I92" s="429"/>
      <c r="J92" s="434">
        <f>H92/$H$8</f>
        <v>0.43404486599996706</v>
      </c>
      <c r="K92" s="435"/>
      <c r="L92" s="17"/>
      <c r="N92" s="433">
        <f>+N90+N87+N79</f>
        <v>0</v>
      </c>
      <c r="O92" s="429"/>
      <c r="Q92" s="433">
        <f>+Q90+Q87+Q79</f>
        <v>0</v>
      </c>
      <c r="S92" s="433">
        <f>+S90+S87+S79</f>
        <v>0</v>
      </c>
      <c r="T92" s="7"/>
      <c r="U92" s="7"/>
      <c r="V92" s="7"/>
      <c r="W92" s="433">
        <f>+W90+W87+W79</f>
        <v>0</v>
      </c>
      <c r="X92" s="429"/>
      <c r="Y92" s="436">
        <f>+Y90+Y87+Y79</f>
        <v>0</v>
      </c>
      <c r="AA92" s="377">
        <f>AA90+AA87+AA83+AA79</f>
        <v>0</v>
      </c>
      <c r="AB92" s="437"/>
      <c r="AC92" s="377">
        <f>SUM(AC78:AC91)</f>
        <v>0</v>
      </c>
      <c r="AE92" s="378" t="str">
        <f>IF(W92=0,"",((W92-H92)/H92))</f>
        <v/>
      </c>
    </row>
    <row r="93" spans="1:33" s="6" customFormat="1" ht="16.350000000000001" customHeight="1" x14ac:dyDescent="0.25">
      <c r="A93" s="453"/>
      <c r="B93" s="949"/>
      <c r="D93" s="428"/>
      <c r="E93" s="7"/>
      <c r="F93" s="629"/>
      <c r="G93" s="7"/>
      <c r="H93" s="429"/>
      <c r="I93" s="429"/>
      <c r="J93" s="950"/>
      <c r="K93" s="435"/>
      <c r="L93" s="17"/>
      <c r="N93" s="429"/>
      <c r="O93" s="429"/>
      <c r="Q93" s="429"/>
      <c r="S93" s="429"/>
      <c r="T93" s="7"/>
      <c r="U93" s="7"/>
      <c r="V93" s="7"/>
      <c r="W93" s="429"/>
      <c r="X93" s="429"/>
      <c r="Y93" s="435"/>
      <c r="AA93" s="66"/>
      <c r="AB93" s="437"/>
      <c r="AC93" s="66"/>
      <c r="AE93" s="67"/>
    </row>
    <row r="94" spans="1:33" s="6" customFormat="1" ht="16.350000000000001" customHeight="1" x14ac:dyDescent="0.25">
      <c r="A94" s="453"/>
      <c r="B94" s="949" t="s">
        <v>565</v>
      </c>
      <c r="D94" s="428"/>
      <c r="E94" s="7"/>
      <c r="F94" s="629"/>
      <c r="G94" s="7"/>
      <c r="H94" s="429"/>
      <c r="I94" s="429"/>
      <c r="J94" s="950"/>
      <c r="K94" s="435"/>
      <c r="L94" s="17"/>
      <c r="N94" s="429"/>
      <c r="O94" s="429"/>
      <c r="Q94" s="429"/>
      <c r="S94" s="429"/>
      <c r="T94" s="7"/>
      <c r="U94" s="7"/>
      <c r="V94" s="7"/>
      <c r="W94" s="429"/>
      <c r="X94" s="429"/>
      <c r="Y94" s="435"/>
      <c r="AA94" s="66"/>
      <c r="AB94" s="437"/>
      <c r="AC94" s="66"/>
      <c r="AE94" s="67"/>
    </row>
    <row r="95" spans="1:33" s="6" customFormat="1" ht="16.350000000000001" customHeight="1" x14ac:dyDescent="0.25">
      <c r="A95" s="453"/>
      <c r="B95" s="13" t="str">
        <f>+'Ghana-CostDriverInput'!B616</f>
        <v xml:space="preserve">4.1 Equipment and Maintenance </v>
      </c>
      <c r="D95" s="928">
        <f>+F95*H95</f>
        <v>1123215.0000000002</v>
      </c>
      <c r="E95" s="7"/>
      <c r="F95" s="624">
        <f t="shared" ref="F95:F98" si="29">H$5</f>
        <v>3.5</v>
      </c>
      <c r="G95" s="7"/>
      <c r="H95" s="923">
        <f>+'Ghana-CostDriverInput'!AB623+'Ghana-CostDriverInput'!AB631</f>
        <v>320918.57142857148</v>
      </c>
      <c r="I95" s="429"/>
      <c r="J95" s="367">
        <f t="shared" ref="J95:J97" si="30">H95/$H$8</f>
        <v>0.11944227201433801</v>
      </c>
      <c r="K95" s="435"/>
      <c r="L95" s="17"/>
      <c r="N95" s="429"/>
      <c r="O95" s="429"/>
      <c r="Q95" s="429"/>
      <c r="S95" s="429"/>
      <c r="T95" s="7"/>
      <c r="U95" s="7"/>
      <c r="V95" s="7"/>
      <c r="W95" s="429"/>
      <c r="X95" s="429"/>
      <c r="Y95" s="435"/>
      <c r="AA95" s="66"/>
      <c r="AB95" s="437"/>
      <c r="AC95" s="66"/>
      <c r="AE95" s="67"/>
    </row>
    <row r="96" spans="1:33" s="6" customFormat="1" ht="16.350000000000001" customHeight="1" x14ac:dyDescent="0.25">
      <c r="A96" s="453"/>
      <c r="B96" s="383" t="str">
        <f>+'Ghana-CostDriverInput'!B633</f>
        <v xml:space="preserve">4.2 Office Running, Internet, and Audit Costs </v>
      </c>
      <c r="D96" s="928">
        <f>+F96*H96</f>
        <v>28340</v>
      </c>
      <c r="E96" s="7"/>
      <c r="F96" s="624">
        <f t="shared" si="29"/>
        <v>3.5</v>
      </c>
      <c r="G96" s="7"/>
      <c r="H96" s="923">
        <f>+'Ghana-CostDriverInput'!AB638</f>
        <v>8097.1428571428569</v>
      </c>
      <c r="I96" s="429"/>
      <c r="J96" s="367">
        <f t="shared" si="30"/>
        <v>3.0136652278382487E-3</v>
      </c>
      <c r="K96" s="435"/>
      <c r="L96" s="17"/>
      <c r="N96" s="429"/>
      <c r="O96" s="429"/>
      <c r="Q96" s="429"/>
      <c r="S96" s="429"/>
      <c r="T96" s="7"/>
      <c r="U96" s="7"/>
      <c r="V96" s="7"/>
      <c r="W96" s="429"/>
      <c r="X96" s="429"/>
      <c r="Y96" s="435"/>
      <c r="AA96" s="66"/>
      <c r="AB96" s="437"/>
      <c r="AC96" s="66"/>
      <c r="AE96" s="67"/>
    </row>
    <row r="97" spans="1:33" s="16" customFormat="1" ht="16.350000000000001" customHeight="1" x14ac:dyDescent="0.25">
      <c r="A97" s="951"/>
      <c r="B97" s="6" t="str">
        <f>+'Ghana-CostDriverInput'!B640</f>
        <v>4.3 Grant Management, Admin Support</v>
      </c>
      <c r="D97" s="928">
        <f>+F97*H97</f>
        <v>81817.808219178085</v>
      </c>
      <c r="E97" s="69"/>
      <c r="F97" s="624">
        <f t="shared" si="29"/>
        <v>3.5</v>
      </c>
      <c r="G97" s="69"/>
      <c r="H97" s="923">
        <f>+'Ghana-CostDriverInput'!AB646</f>
        <v>23376.51663405088</v>
      </c>
      <c r="I97" s="429"/>
      <c r="J97" s="367">
        <f t="shared" si="30"/>
        <v>8.7004757815128952E-3</v>
      </c>
      <c r="K97" s="429"/>
      <c r="L97" s="429"/>
      <c r="N97" s="58"/>
      <c r="O97" s="58"/>
      <c r="Q97" s="58"/>
      <c r="S97" s="58"/>
      <c r="T97" s="69"/>
      <c r="U97" s="69"/>
      <c r="V97" s="69"/>
      <c r="W97" s="58"/>
      <c r="X97" s="69"/>
      <c r="Y97" s="954"/>
      <c r="AA97" s="955"/>
      <c r="AB97" s="955"/>
      <c r="AC97" s="955"/>
      <c r="AE97" s="956"/>
    </row>
    <row r="98" spans="1:33" s="16" customFormat="1" ht="16.350000000000001" customHeight="1" x14ac:dyDescent="0.25">
      <c r="A98" s="951"/>
      <c r="B98" s="16" t="s">
        <v>568</v>
      </c>
      <c r="D98" s="429">
        <f>+SUM(D95:D97)</f>
        <v>1233372.8082191783</v>
      </c>
      <c r="E98" s="69"/>
      <c r="F98" s="624">
        <f t="shared" si="29"/>
        <v>3.5</v>
      </c>
      <c r="G98" s="69"/>
      <c r="H98" s="429">
        <f>+SUM(H95:H97)</f>
        <v>352392.23091976519</v>
      </c>
      <c r="I98" s="429"/>
      <c r="J98" s="33">
        <f>H98/$H$8</f>
        <v>0.13115641302368913</v>
      </c>
      <c r="K98" s="429"/>
      <c r="L98" s="429"/>
      <c r="N98" s="58"/>
      <c r="O98" s="58"/>
      <c r="Q98" s="58"/>
      <c r="S98" s="58"/>
      <c r="T98" s="69"/>
      <c r="U98" s="69"/>
      <c r="V98" s="69"/>
      <c r="W98" s="58"/>
      <c r="X98" s="69"/>
      <c r="Y98" s="954"/>
      <c r="AA98" s="955"/>
      <c r="AB98" s="955"/>
      <c r="AC98" s="955"/>
      <c r="AE98" s="956"/>
    </row>
    <row r="99" spans="1:33" s="16" customFormat="1" ht="16.350000000000001" customHeight="1" x14ac:dyDescent="0.25">
      <c r="A99" s="951"/>
      <c r="D99" s="952"/>
      <c r="E99" s="69"/>
      <c r="F99" s="953"/>
      <c r="G99" s="69"/>
      <c r="H99" s="429"/>
      <c r="I99" s="429"/>
      <c r="J99" s="430"/>
      <c r="K99" s="429"/>
      <c r="L99" s="429"/>
      <c r="N99" s="58"/>
      <c r="O99" s="58"/>
      <c r="Q99" s="58"/>
      <c r="S99" s="58"/>
      <c r="T99" s="69"/>
      <c r="U99" s="69"/>
      <c r="V99" s="69"/>
      <c r="W99" s="58"/>
      <c r="X99" s="69"/>
      <c r="Y99" s="954"/>
      <c r="AA99" s="955"/>
      <c r="AB99" s="955"/>
      <c r="AC99" s="955"/>
      <c r="AE99" s="956"/>
    </row>
    <row r="100" spans="1:33" ht="16.350000000000001" customHeight="1" thickBot="1" x14ac:dyDescent="0.3">
      <c r="B100" s="438" t="s">
        <v>124</v>
      </c>
      <c r="C100" s="439"/>
      <c r="D100" s="440">
        <f>D92+D43+D98</f>
        <v>5477677.1264965069</v>
      </c>
      <c r="E100" s="441"/>
      <c r="F100" s="631"/>
      <c r="G100" s="441"/>
      <c r="H100" s="440">
        <f>H92+H43+H98</f>
        <v>1566295.9462854215</v>
      </c>
      <c r="I100" s="443"/>
      <c r="J100" s="444">
        <f>H100/$H$8</f>
        <v>0.58295768187668773</v>
      </c>
      <c r="K100" s="445"/>
      <c r="L100" s="446"/>
      <c r="M100" s="439"/>
      <c r="N100" s="442">
        <f>+N90+N87+N83</f>
        <v>0</v>
      </c>
      <c r="O100" s="443"/>
      <c r="P100" s="439"/>
      <c r="Q100" s="442">
        <f>+Q90+Q87+Q83</f>
        <v>0</v>
      </c>
      <c r="R100" s="439"/>
      <c r="S100" s="442">
        <f>+S90+S87+S83</f>
        <v>0</v>
      </c>
      <c r="T100" s="441"/>
      <c r="U100" s="441"/>
      <c r="V100" s="441"/>
      <c r="W100" s="442">
        <f>+W90+W87+W83</f>
        <v>0</v>
      </c>
      <c r="X100" s="443"/>
      <c r="Y100" s="447">
        <f>+Y90+Y87+Y83</f>
        <v>0</v>
      </c>
      <c r="Z100" s="439"/>
      <c r="AA100" s="448">
        <f>SUM(AA80:AA97)</f>
        <v>0</v>
      </c>
      <c r="AB100" s="449"/>
      <c r="AC100" s="448">
        <f>SUM(AC80:AC97)</f>
        <v>0</v>
      </c>
      <c r="AD100" s="439"/>
      <c r="AE100" s="450" t="str">
        <f>IF(W100=0,"",((W100-H100)/H100))</f>
        <v/>
      </c>
      <c r="AG100" s="59"/>
    </row>
    <row r="101" spans="1:33" ht="16.350000000000001" customHeight="1" x14ac:dyDescent="0.25">
      <c r="D101" s="38"/>
      <c r="E101" s="39"/>
      <c r="F101" s="632"/>
      <c r="G101" s="39"/>
      <c r="H101" s="39"/>
      <c r="I101" s="39"/>
      <c r="J101" s="40"/>
      <c r="AG101" s="59"/>
    </row>
    <row r="102" spans="1:33" ht="16.350000000000001" customHeight="1" x14ac:dyDescent="0.25">
      <c r="B102" s="4" t="s">
        <v>569</v>
      </c>
      <c r="D102" s="639">
        <f>+D100*0.1</f>
        <v>547767.71264965076</v>
      </c>
      <c r="H102" s="639">
        <f>+H100*0.1</f>
        <v>156629.59462854217</v>
      </c>
      <c r="J102" s="957">
        <f>+J100*0.1</f>
        <v>5.8295768187668774E-2</v>
      </c>
      <c r="AG102" s="59"/>
    </row>
    <row r="103" spans="1:33" ht="16.350000000000001" customHeight="1" x14ac:dyDescent="0.25">
      <c r="B103" s="60"/>
      <c r="H103" s="44" t="s">
        <v>574</v>
      </c>
      <c r="W103" s="44"/>
      <c r="AG103" s="59"/>
    </row>
    <row r="104" spans="1:33" ht="16.350000000000001" customHeight="1" thickBot="1" x14ac:dyDescent="0.3">
      <c r="B104" s="438" t="s">
        <v>570</v>
      </c>
      <c r="C104" s="439"/>
      <c r="D104" s="440">
        <f>+D100+D102</f>
        <v>6025444.8391461577</v>
      </c>
      <c r="E104" s="441"/>
      <c r="F104" s="631"/>
      <c r="G104" s="441"/>
      <c r="H104" s="440">
        <f>+H100+H102</f>
        <v>1722925.5409139637</v>
      </c>
      <c r="I104" s="443"/>
      <c r="J104" s="958">
        <f>+J100+J102</f>
        <v>0.64125345006435652</v>
      </c>
      <c r="K104" s="445"/>
      <c r="L104" s="446"/>
      <c r="M104" s="439"/>
      <c r="N104" s="442"/>
      <c r="O104" s="443"/>
      <c r="P104" s="439"/>
      <c r="Q104" s="442"/>
      <c r="R104" s="439"/>
      <c r="S104" s="442"/>
      <c r="T104" s="441"/>
      <c r="U104" s="441"/>
      <c r="V104" s="441"/>
      <c r="W104" s="442"/>
      <c r="X104" s="443"/>
      <c r="Y104" s="447"/>
      <c r="Z104" s="439"/>
      <c r="AA104" s="448"/>
      <c r="AB104" s="449"/>
      <c r="AC104" s="448"/>
      <c r="AD104" s="439"/>
      <c r="AE104" s="450"/>
      <c r="AG104" s="59"/>
    </row>
    <row r="105" spans="1:33" ht="16.350000000000001" customHeight="1" x14ac:dyDescent="0.25">
      <c r="H105" s="5"/>
      <c r="AG105" s="59"/>
    </row>
    <row r="106" spans="1:33" ht="16.350000000000001" customHeight="1" x14ac:dyDescent="0.25">
      <c r="AG106" s="59"/>
    </row>
    <row r="107" spans="1:33" ht="16.350000000000001" customHeight="1" x14ac:dyDescent="0.25">
      <c r="AG107" s="59"/>
    </row>
    <row r="108" spans="1:33" ht="16.350000000000001" customHeight="1" x14ac:dyDescent="0.25">
      <c r="AG108" s="59"/>
    </row>
  </sheetData>
  <mergeCells count="2">
    <mergeCell ref="D12:J13"/>
    <mergeCell ref="N12:AE13"/>
  </mergeCells>
  <phoneticPr fontId="27" type="noConversion"/>
  <pageMargins left="0.24" right="0.24" top="0.45" bottom="0.4" header="0.31496062992126" footer="0.31496062992126"/>
  <pageSetup paperSize="9" scale="3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N69"/>
  <sheetViews>
    <sheetView topLeftCell="A2" zoomScaleNormal="100" zoomScalePageLayoutView="130" workbookViewId="0">
      <pane xSplit="4" ySplit="8" topLeftCell="DO10" activePane="bottomRight" state="frozen"/>
      <selection activeCell="A2" sqref="A2"/>
      <selection pane="topRight" activeCell="F2" sqref="F2"/>
      <selection pane="bottomLeft" activeCell="A10" sqref="A10"/>
      <selection pane="bottomRight" activeCell="A2" sqref="A2"/>
    </sheetView>
  </sheetViews>
  <sheetFormatPr defaultColWidth="8.85546875" defaultRowHeight="15" x14ac:dyDescent="0.25"/>
  <cols>
    <col min="1" max="1" width="3.140625" style="179" customWidth="1"/>
    <col min="2" max="2" width="3.7109375" style="179" bestFit="1" customWidth="1"/>
    <col min="3" max="3" width="3.7109375" style="179" customWidth="1"/>
    <col min="4" max="4" width="49.140625" style="179" customWidth="1"/>
    <col min="5" max="64" width="3.7109375" style="179" customWidth="1"/>
    <col min="65" max="65" width="4.7109375" style="179" customWidth="1"/>
    <col min="66" max="117" width="3.7109375" style="179" customWidth="1"/>
    <col min="118" max="118" width="3.42578125" style="179" customWidth="1"/>
    <col min="119" max="119" width="5.28515625" style="179" customWidth="1"/>
    <col min="120" max="120" width="4.85546875" style="179" customWidth="1"/>
    <col min="121" max="121" width="4.7109375" style="179" customWidth="1"/>
    <col min="122" max="122" width="4.28515625" style="179" customWidth="1"/>
    <col min="123" max="123" width="4.42578125" style="179" customWidth="1"/>
    <col min="124" max="124" width="5" style="179" customWidth="1"/>
    <col min="125" max="126" width="4.42578125" style="179" customWidth="1"/>
    <col min="127" max="127" width="4.85546875" style="179" customWidth="1"/>
    <col min="128" max="128" width="4.42578125" style="179" customWidth="1"/>
    <col min="129" max="129" width="5.28515625" style="179" customWidth="1"/>
    <col min="130" max="130" width="3.42578125" style="179" customWidth="1"/>
    <col min="131" max="131" width="4.85546875" style="179" customWidth="1"/>
    <col min="132" max="132" width="5.140625" style="179" customWidth="1"/>
    <col min="133" max="133" width="4" style="179" customWidth="1"/>
    <col min="134" max="134" width="3.28515625" style="179" customWidth="1"/>
    <col min="135" max="135" width="4.28515625" style="179" customWidth="1"/>
    <col min="136" max="136" width="3.42578125" style="179" customWidth="1"/>
    <col min="137" max="137" width="4.85546875" style="179" customWidth="1"/>
    <col min="138" max="139" width="4.7109375" style="179" customWidth="1"/>
    <col min="140" max="140" width="4.42578125" style="179" customWidth="1"/>
    <col min="141" max="141" width="3.28515625" style="179" customWidth="1"/>
    <col min="142" max="142" width="5.42578125" style="179" customWidth="1"/>
    <col min="143" max="143" width="4" style="179" customWidth="1"/>
    <col min="144" max="144" width="4.42578125" style="179" customWidth="1"/>
    <col min="145" max="145" width="3.85546875" style="179" customWidth="1"/>
    <col min="146" max="146" width="4.140625" style="179" customWidth="1"/>
    <col min="147" max="147" width="5.7109375" style="179" customWidth="1"/>
    <col min="148" max="148" width="4" style="179" customWidth="1"/>
    <col min="149" max="149" width="4.85546875" style="179" customWidth="1"/>
    <col min="150" max="150" width="4.42578125" style="179" customWidth="1"/>
    <col min="151" max="152" width="5.7109375" style="179" customWidth="1"/>
    <col min="153" max="153" width="4.42578125" style="179" customWidth="1"/>
    <col min="154" max="154" width="4.28515625" style="179" customWidth="1"/>
    <col min="155" max="155" width="4.7109375" style="179" customWidth="1"/>
    <col min="156" max="156" width="5.140625" style="179" customWidth="1"/>
    <col min="157" max="157" width="3.42578125" style="179" customWidth="1"/>
    <col min="158" max="158" width="4.140625" style="179" customWidth="1"/>
    <col min="159" max="159" width="4.85546875" style="179" customWidth="1"/>
    <col min="160" max="160" width="4.42578125" style="179" customWidth="1"/>
    <col min="161" max="161" width="3.85546875" style="179" customWidth="1"/>
    <col min="162" max="163" width="4" style="179" customWidth="1"/>
    <col min="164" max="164" width="3.7109375" style="179" customWidth="1"/>
    <col min="165" max="165" width="4.28515625" style="179" customWidth="1"/>
    <col min="166" max="166" width="4.140625" style="179" customWidth="1"/>
    <col min="167" max="167" width="4" style="179" customWidth="1"/>
    <col min="168" max="169" width="4.140625" style="179" customWidth="1"/>
    <col min="170" max="170" width="4.42578125" style="179" customWidth="1"/>
    <col min="171" max="16384" width="8.85546875" style="179"/>
  </cols>
  <sheetData>
    <row r="1" spans="2:170" x14ac:dyDescent="0.25">
      <c r="AA1" s="562"/>
      <c r="AB1" s="563"/>
      <c r="AC1" s="564"/>
    </row>
    <row r="2" spans="2:170" x14ac:dyDescent="0.25">
      <c r="C2" s="986" t="s">
        <v>209</v>
      </c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987"/>
      <c r="O2" s="987"/>
      <c r="P2" s="987"/>
      <c r="Q2" s="987"/>
      <c r="R2" s="987"/>
      <c r="S2" s="987"/>
      <c r="T2" s="987"/>
      <c r="U2" s="987"/>
      <c r="V2" s="987"/>
      <c r="W2" s="987"/>
      <c r="X2" s="987"/>
      <c r="Y2" s="987"/>
      <c r="Z2" s="987"/>
      <c r="AA2" s="987"/>
      <c r="AB2" s="987"/>
      <c r="AC2" s="987"/>
      <c r="AD2" s="987"/>
      <c r="AE2" s="987"/>
      <c r="AF2" s="987"/>
      <c r="AG2" s="987"/>
      <c r="AH2" s="987"/>
      <c r="BR2" s="464"/>
      <c r="BS2" s="464"/>
    </row>
    <row r="3" spans="2:170" x14ac:dyDescent="0.25">
      <c r="C3" s="548"/>
      <c r="D3" s="549"/>
      <c r="E3" s="571"/>
      <c r="F3" s="571"/>
      <c r="G3" s="571"/>
      <c r="H3" s="571"/>
      <c r="I3" s="571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66"/>
      <c r="AA3" s="179" t="s">
        <v>206</v>
      </c>
      <c r="AE3" s="549"/>
      <c r="AF3" s="549"/>
      <c r="AG3" s="549"/>
      <c r="AH3" s="549"/>
      <c r="BR3" s="99"/>
      <c r="BS3" s="99"/>
      <c r="EO3" s="179" t="s">
        <v>135</v>
      </c>
      <c r="FG3" s="179" t="s">
        <v>135</v>
      </c>
    </row>
    <row r="4" spans="2:170" x14ac:dyDescent="0.25">
      <c r="C4" s="548"/>
      <c r="D4" s="549"/>
      <c r="E4" s="571"/>
      <c r="F4" s="571"/>
      <c r="G4" s="571"/>
      <c r="H4" s="571"/>
      <c r="I4" s="571"/>
      <c r="J4" s="549"/>
      <c r="K4" s="549"/>
      <c r="L4" s="549"/>
      <c r="M4" s="549"/>
      <c r="N4" s="549"/>
      <c r="O4" s="549"/>
      <c r="P4" s="549" t="s">
        <v>135</v>
      </c>
      <c r="Q4" s="549" t="s">
        <v>135</v>
      </c>
      <c r="R4" s="549"/>
      <c r="S4" s="549"/>
      <c r="T4" s="549"/>
      <c r="U4" s="549"/>
      <c r="V4" s="549"/>
      <c r="W4" s="549"/>
      <c r="X4" s="549"/>
      <c r="Y4" s="549"/>
      <c r="Z4" s="567"/>
      <c r="AA4" s="99" t="s">
        <v>207</v>
      </c>
      <c r="AB4" s="99"/>
      <c r="AE4" s="549"/>
      <c r="AF4" s="549"/>
      <c r="AG4" s="549"/>
      <c r="AH4" s="549"/>
      <c r="BR4" s="99"/>
      <c r="BS4" s="99"/>
      <c r="FB4" s="179" t="s">
        <v>135</v>
      </c>
      <c r="FI4" s="179" t="s">
        <v>135</v>
      </c>
    </row>
    <row r="5" spans="2:170" x14ac:dyDescent="0.25">
      <c r="Z5" s="568"/>
      <c r="AA5" s="99" t="s">
        <v>208</v>
      </c>
      <c r="AB5" s="99"/>
    </row>
    <row r="6" spans="2:170" ht="15.75" thickBot="1" x14ac:dyDescent="0.3">
      <c r="Z6" s="589"/>
      <c r="AA6" s="99" t="s">
        <v>215</v>
      </c>
      <c r="AB6" s="99"/>
    </row>
    <row r="7" spans="2:170" x14ac:dyDescent="0.25">
      <c r="C7" s="988" t="s">
        <v>132</v>
      </c>
      <c r="D7" s="990" t="s">
        <v>109</v>
      </c>
      <c r="E7" s="976">
        <v>42370</v>
      </c>
      <c r="F7" s="977"/>
      <c r="G7" s="977"/>
      <c r="H7" s="977"/>
      <c r="I7" s="978"/>
      <c r="J7" s="976">
        <v>42401</v>
      </c>
      <c r="K7" s="977"/>
      <c r="L7" s="977"/>
      <c r="M7" s="977"/>
      <c r="N7" s="978"/>
      <c r="O7" s="976">
        <v>42430</v>
      </c>
      <c r="P7" s="977"/>
      <c r="Q7" s="977"/>
      <c r="R7" s="978"/>
      <c r="S7" s="976">
        <v>42461</v>
      </c>
      <c r="T7" s="977"/>
      <c r="U7" s="977"/>
      <c r="V7" s="977"/>
      <c r="W7" s="976">
        <v>42491</v>
      </c>
      <c r="X7" s="977"/>
      <c r="Y7" s="977"/>
      <c r="Z7" s="992"/>
      <c r="AA7" s="976">
        <v>42522</v>
      </c>
      <c r="AB7" s="977"/>
      <c r="AC7" s="977"/>
      <c r="AD7" s="978"/>
      <c r="AE7" s="976">
        <v>42552</v>
      </c>
      <c r="AF7" s="977"/>
      <c r="AG7" s="977"/>
      <c r="AH7" s="978"/>
      <c r="AI7" s="976">
        <v>42583</v>
      </c>
      <c r="AJ7" s="977"/>
      <c r="AK7" s="977"/>
      <c r="AL7" s="977"/>
      <c r="AM7" s="978"/>
      <c r="AN7" s="976">
        <v>42614</v>
      </c>
      <c r="AO7" s="977"/>
      <c r="AP7" s="977"/>
      <c r="AQ7" s="978"/>
      <c r="AR7" s="976">
        <v>42644</v>
      </c>
      <c r="AS7" s="977"/>
      <c r="AT7" s="977"/>
      <c r="AU7" s="977"/>
      <c r="AV7" s="977"/>
      <c r="AW7" s="980">
        <v>42675</v>
      </c>
      <c r="AX7" s="981"/>
      <c r="AY7" s="981"/>
      <c r="AZ7" s="981"/>
      <c r="BA7" s="982">
        <v>42705</v>
      </c>
      <c r="BB7" s="982"/>
      <c r="BC7" s="982"/>
      <c r="BD7" s="982"/>
      <c r="BE7" s="980">
        <v>42736</v>
      </c>
      <c r="BF7" s="981"/>
      <c r="BG7" s="981"/>
      <c r="BH7" s="981"/>
      <c r="BI7" s="996"/>
      <c r="BJ7" s="980">
        <v>42767</v>
      </c>
      <c r="BK7" s="981"/>
      <c r="BL7" s="981"/>
      <c r="BM7" s="996"/>
      <c r="BN7" s="982">
        <v>42795</v>
      </c>
      <c r="BO7" s="982"/>
      <c r="BP7" s="982"/>
      <c r="BQ7" s="982"/>
      <c r="BR7" s="982">
        <v>42826</v>
      </c>
      <c r="BS7" s="982"/>
      <c r="BT7" s="982"/>
      <c r="BU7" s="982"/>
      <c r="BV7" s="980">
        <v>42856</v>
      </c>
      <c r="BW7" s="981"/>
      <c r="BX7" s="981"/>
      <c r="BY7" s="981"/>
      <c r="BZ7" s="996"/>
      <c r="CA7" s="982">
        <v>42887</v>
      </c>
      <c r="CB7" s="982"/>
      <c r="CC7" s="982"/>
      <c r="CD7" s="982"/>
      <c r="CE7" s="980">
        <v>42917</v>
      </c>
      <c r="CF7" s="981"/>
      <c r="CG7" s="981"/>
      <c r="CH7" s="981"/>
      <c r="CI7" s="996"/>
      <c r="CJ7" s="982">
        <v>42948</v>
      </c>
      <c r="CK7" s="982"/>
      <c r="CL7" s="982"/>
      <c r="CM7" s="982"/>
      <c r="CN7" s="982">
        <v>42979</v>
      </c>
      <c r="CO7" s="982"/>
      <c r="CP7" s="982"/>
      <c r="CQ7" s="982"/>
      <c r="CR7" s="980">
        <v>43009</v>
      </c>
      <c r="CS7" s="981"/>
      <c r="CT7" s="981"/>
      <c r="CU7" s="981"/>
      <c r="CV7" s="996"/>
      <c r="CW7" s="982">
        <v>43040</v>
      </c>
      <c r="CX7" s="982"/>
      <c r="CY7" s="982"/>
      <c r="CZ7" s="982"/>
      <c r="DA7" s="980">
        <v>43070</v>
      </c>
      <c r="DB7" s="981"/>
      <c r="DC7" s="981"/>
      <c r="DD7" s="996"/>
      <c r="DE7" s="980">
        <v>43101</v>
      </c>
      <c r="DF7" s="981"/>
      <c r="DG7" s="981"/>
      <c r="DH7" s="981"/>
      <c r="DI7" s="996"/>
      <c r="DJ7" s="982">
        <v>43132</v>
      </c>
      <c r="DK7" s="982"/>
      <c r="DL7" s="982"/>
      <c r="DM7" s="982"/>
      <c r="DN7" s="980">
        <v>43160</v>
      </c>
      <c r="DO7" s="981"/>
      <c r="DP7" s="981"/>
      <c r="DQ7" s="996"/>
      <c r="DR7" s="980">
        <v>43191</v>
      </c>
      <c r="DS7" s="981"/>
      <c r="DT7" s="981"/>
      <c r="DU7" s="981"/>
      <c r="DV7" s="996"/>
      <c r="DW7" s="982">
        <v>43221</v>
      </c>
      <c r="DX7" s="982"/>
      <c r="DY7" s="982"/>
      <c r="DZ7" s="982"/>
      <c r="EA7" s="982">
        <v>43252</v>
      </c>
      <c r="EB7" s="982"/>
      <c r="EC7" s="982"/>
      <c r="ED7" s="982"/>
      <c r="EE7" s="980">
        <v>43282</v>
      </c>
      <c r="EF7" s="981"/>
      <c r="EG7" s="981"/>
      <c r="EH7" s="981"/>
      <c r="EI7" s="996"/>
      <c r="EJ7" s="980">
        <v>43313</v>
      </c>
      <c r="EK7" s="981"/>
      <c r="EL7" s="981"/>
      <c r="EM7" s="996"/>
      <c r="EN7" s="980">
        <v>43344</v>
      </c>
      <c r="EO7" s="981"/>
      <c r="EP7" s="981"/>
      <c r="EQ7" s="996"/>
      <c r="ER7" s="980">
        <v>43374</v>
      </c>
      <c r="ES7" s="981"/>
      <c r="ET7" s="981"/>
      <c r="EU7" s="981"/>
      <c r="EV7" s="996"/>
      <c r="EW7" s="980">
        <v>43405</v>
      </c>
      <c r="EX7" s="981"/>
      <c r="EY7" s="981"/>
      <c r="EZ7" s="996"/>
      <c r="FA7" s="561"/>
      <c r="FB7" s="980">
        <v>43435</v>
      </c>
      <c r="FC7" s="981"/>
      <c r="FD7" s="981"/>
      <c r="FE7" s="981"/>
      <c r="FF7" s="996"/>
      <c r="FG7" s="980">
        <v>43466</v>
      </c>
      <c r="FH7" s="981"/>
      <c r="FI7" s="981"/>
      <c r="FJ7" s="996"/>
      <c r="FK7" s="980">
        <v>43497</v>
      </c>
      <c r="FL7" s="981"/>
      <c r="FM7" s="981"/>
      <c r="FN7" s="996"/>
    </row>
    <row r="8" spans="2:170" x14ac:dyDescent="0.25">
      <c r="C8" s="989"/>
      <c r="D8" s="991"/>
      <c r="E8" s="311">
        <v>4</v>
      </c>
      <c r="F8" s="308">
        <f>E8+7</f>
        <v>11</v>
      </c>
      <c r="G8" s="308">
        <f t="shared" ref="G8" si="0">F8+7</f>
        <v>18</v>
      </c>
      <c r="H8" s="308">
        <f t="shared" ref="H8" si="1">G8+7</f>
        <v>25</v>
      </c>
      <c r="I8" s="310">
        <v>29</v>
      </c>
      <c r="J8" s="311">
        <v>1</v>
      </c>
      <c r="K8" s="308">
        <f>J8+7</f>
        <v>8</v>
      </c>
      <c r="L8" s="308">
        <f t="shared" ref="L8:M8" si="2">K8+7</f>
        <v>15</v>
      </c>
      <c r="M8" s="308">
        <f t="shared" si="2"/>
        <v>22</v>
      </c>
      <c r="N8" s="310">
        <v>29</v>
      </c>
      <c r="O8" s="308">
        <v>7</v>
      </c>
      <c r="P8" s="307">
        <f>O8+7</f>
        <v>14</v>
      </c>
      <c r="Q8" s="307">
        <f>P8+7</f>
        <v>21</v>
      </c>
      <c r="R8" s="307">
        <f t="shared" ref="R8" si="3">Q8+7</f>
        <v>28</v>
      </c>
      <c r="S8" s="311">
        <v>4</v>
      </c>
      <c r="T8" s="307">
        <f>S8+7</f>
        <v>11</v>
      </c>
      <c r="U8" s="307">
        <f t="shared" ref="U8:V8" si="4">T8+7</f>
        <v>18</v>
      </c>
      <c r="V8" s="307">
        <f t="shared" si="4"/>
        <v>25</v>
      </c>
      <c r="W8" s="311">
        <v>2</v>
      </c>
      <c r="X8" s="307">
        <f>W8+7</f>
        <v>9</v>
      </c>
      <c r="Y8" s="307">
        <f t="shared" ref="Y8:Z8" si="5">X8+7</f>
        <v>16</v>
      </c>
      <c r="Z8" s="307">
        <f t="shared" si="5"/>
        <v>23</v>
      </c>
      <c r="AA8" s="309">
        <v>6</v>
      </c>
      <c r="AB8" s="307">
        <f>AA8+7</f>
        <v>13</v>
      </c>
      <c r="AC8" s="307">
        <f t="shared" ref="AC8:AD8" si="6">AB8+7</f>
        <v>20</v>
      </c>
      <c r="AD8" s="307">
        <f t="shared" si="6"/>
        <v>27</v>
      </c>
      <c r="AE8" s="309">
        <v>4</v>
      </c>
      <c r="AF8" s="307">
        <f>AE8+7</f>
        <v>11</v>
      </c>
      <c r="AG8" s="307">
        <f t="shared" ref="AG8:AH8" si="7">AF8+7</f>
        <v>18</v>
      </c>
      <c r="AH8" s="307">
        <f t="shared" si="7"/>
        <v>25</v>
      </c>
      <c r="AI8" s="309">
        <v>1</v>
      </c>
      <c r="AJ8" s="307">
        <f>AI8+7</f>
        <v>8</v>
      </c>
      <c r="AK8" s="307">
        <f t="shared" ref="AK8:AM8" si="8">AJ8+7</f>
        <v>15</v>
      </c>
      <c r="AL8" s="307">
        <f t="shared" si="8"/>
        <v>22</v>
      </c>
      <c r="AM8" s="310">
        <f t="shared" si="8"/>
        <v>29</v>
      </c>
      <c r="AN8" s="309">
        <v>5</v>
      </c>
      <c r="AO8" s="307">
        <f>AN8+7</f>
        <v>12</v>
      </c>
      <c r="AP8" s="307">
        <f t="shared" ref="AP8:AQ8" si="9">AO8+7</f>
        <v>19</v>
      </c>
      <c r="AQ8" s="310">
        <f t="shared" si="9"/>
        <v>26</v>
      </c>
      <c r="AR8" s="311">
        <v>3</v>
      </c>
      <c r="AS8" s="307">
        <f>AR8+7</f>
        <v>10</v>
      </c>
      <c r="AT8" s="307">
        <f t="shared" ref="AT8:AV8" si="10">AS8+7</f>
        <v>17</v>
      </c>
      <c r="AU8" s="307">
        <f t="shared" si="10"/>
        <v>24</v>
      </c>
      <c r="AV8" s="307">
        <f t="shared" si="10"/>
        <v>31</v>
      </c>
      <c r="AW8" s="308">
        <v>7</v>
      </c>
      <c r="AX8" s="308">
        <f>AW8+7</f>
        <v>14</v>
      </c>
      <c r="AY8" s="308">
        <f t="shared" ref="AY8:AZ8" si="11">AX8+7</f>
        <v>21</v>
      </c>
      <c r="AZ8" s="308">
        <f t="shared" si="11"/>
        <v>28</v>
      </c>
      <c r="BA8" s="560">
        <v>5</v>
      </c>
      <c r="BB8" s="560">
        <f>BA8+7</f>
        <v>12</v>
      </c>
      <c r="BC8" s="560">
        <f t="shared" ref="BC8:BI8" si="12">BB8+7</f>
        <v>19</v>
      </c>
      <c r="BD8" s="565">
        <f t="shared" si="12"/>
        <v>26</v>
      </c>
      <c r="BE8" s="560">
        <v>2</v>
      </c>
      <c r="BF8" s="560">
        <f>BE8+7</f>
        <v>9</v>
      </c>
      <c r="BG8" s="560">
        <f t="shared" si="12"/>
        <v>16</v>
      </c>
      <c r="BH8" s="560">
        <f t="shared" si="12"/>
        <v>23</v>
      </c>
      <c r="BI8" s="560">
        <f t="shared" si="12"/>
        <v>30</v>
      </c>
      <c r="BJ8" s="560">
        <v>6</v>
      </c>
      <c r="BK8" s="560">
        <f>BJ8+7</f>
        <v>13</v>
      </c>
      <c r="BL8" s="560">
        <f t="shared" ref="BL8:BM8" si="13">BK8+7</f>
        <v>20</v>
      </c>
      <c r="BM8" s="560">
        <f t="shared" si="13"/>
        <v>27</v>
      </c>
      <c r="BN8" s="560">
        <v>6</v>
      </c>
      <c r="BO8" s="560">
        <f>BN8+7</f>
        <v>13</v>
      </c>
      <c r="BP8" s="560">
        <f t="shared" ref="BP8:BQ8" si="14">BO8+7</f>
        <v>20</v>
      </c>
      <c r="BQ8" s="560">
        <f t="shared" si="14"/>
        <v>27</v>
      </c>
      <c r="BR8" s="560">
        <v>3</v>
      </c>
      <c r="BS8" s="560">
        <f>BR8+7</f>
        <v>10</v>
      </c>
      <c r="BT8" s="560">
        <f t="shared" ref="BT8:BU8" si="15">BS8+7</f>
        <v>17</v>
      </c>
      <c r="BU8" s="560">
        <f t="shared" si="15"/>
        <v>24</v>
      </c>
      <c r="BV8" s="560">
        <v>1</v>
      </c>
      <c r="BW8" s="560">
        <f>BV8+7</f>
        <v>8</v>
      </c>
      <c r="BX8" s="560">
        <f t="shared" ref="BX8:BZ8" si="16">BW8+7</f>
        <v>15</v>
      </c>
      <c r="BY8" s="560">
        <f t="shared" si="16"/>
        <v>22</v>
      </c>
      <c r="BZ8" s="560">
        <f t="shared" si="16"/>
        <v>29</v>
      </c>
      <c r="CA8" s="560">
        <v>5</v>
      </c>
      <c r="CB8" s="560">
        <f>CA8+7</f>
        <v>12</v>
      </c>
      <c r="CC8" s="560">
        <f t="shared" ref="CC8:CD8" si="17">CB8+7</f>
        <v>19</v>
      </c>
      <c r="CD8" s="560">
        <f t="shared" si="17"/>
        <v>26</v>
      </c>
      <c r="CE8" s="560">
        <v>3</v>
      </c>
      <c r="CF8" s="560">
        <f>CE8+7</f>
        <v>10</v>
      </c>
      <c r="CG8" s="560">
        <f t="shared" ref="CG8:CI8" si="18">CF8+7</f>
        <v>17</v>
      </c>
      <c r="CH8" s="560">
        <f t="shared" si="18"/>
        <v>24</v>
      </c>
      <c r="CI8" s="560">
        <f t="shared" si="18"/>
        <v>31</v>
      </c>
      <c r="CJ8" s="560">
        <v>7</v>
      </c>
      <c r="CK8" s="560">
        <f>CJ8+7</f>
        <v>14</v>
      </c>
      <c r="CL8" s="560">
        <f t="shared" ref="CL8:CM8" si="19">CK8+7</f>
        <v>21</v>
      </c>
      <c r="CM8" s="560">
        <f t="shared" si="19"/>
        <v>28</v>
      </c>
      <c r="CN8" s="560">
        <v>4</v>
      </c>
      <c r="CO8" s="560">
        <f>CN8+7</f>
        <v>11</v>
      </c>
      <c r="CP8" s="560">
        <f t="shared" ref="CP8:CQ8" si="20">CO8+7</f>
        <v>18</v>
      </c>
      <c r="CQ8" s="560">
        <f t="shared" si="20"/>
        <v>25</v>
      </c>
      <c r="CR8" s="560">
        <v>2</v>
      </c>
      <c r="CS8" s="560">
        <f>CR8+7</f>
        <v>9</v>
      </c>
      <c r="CT8" s="560">
        <f t="shared" ref="CT8:CV8" si="21">CS8+7</f>
        <v>16</v>
      </c>
      <c r="CU8" s="560">
        <f t="shared" si="21"/>
        <v>23</v>
      </c>
      <c r="CV8" s="560">
        <f t="shared" si="21"/>
        <v>30</v>
      </c>
      <c r="CW8" s="560">
        <v>6</v>
      </c>
      <c r="CX8" s="560">
        <f>CW8+7</f>
        <v>13</v>
      </c>
      <c r="CY8" s="560">
        <f t="shared" ref="CY8:CZ8" si="22">CX8+7</f>
        <v>20</v>
      </c>
      <c r="CZ8" s="560">
        <f t="shared" si="22"/>
        <v>27</v>
      </c>
      <c r="DA8" s="560">
        <v>4</v>
      </c>
      <c r="DB8" s="560">
        <f>DA8+7</f>
        <v>11</v>
      </c>
      <c r="DC8" s="560">
        <f t="shared" ref="DC8:DD8" si="23">DB8+7</f>
        <v>18</v>
      </c>
      <c r="DD8" s="560">
        <f t="shared" si="23"/>
        <v>25</v>
      </c>
      <c r="DE8" s="560">
        <v>1</v>
      </c>
      <c r="DF8" s="560">
        <f>DE8+7</f>
        <v>8</v>
      </c>
      <c r="DG8" s="560">
        <f t="shared" ref="DG8:DI8" si="24">DF8+7</f>
        <v>15</v>
      </c>
      <c r="DH8" s="560">
        <f t="shared" si="24"/>
        <v>22</v>
      </c>
      <c r="DI8" s="560">
        <f t="shared" si="24"/>
        <v>29</v>
      </c>
      <c r="DJ8" s="560">
        <v>5</v>
      </c>
      <c r="DK8" s="560">
        <f>DJ8+7</f>
        <v>12</v>
      </c>
      <c r="DL8" s="560">
        <f t="shared" ref="DL8:DM8" si="25">DK8+7</f>
        <v>19</v>
      </c>
      <c r="DM8" s="560">
        <f t="shared" si="25"/>
        <v>26</v>
      </c>
      <c r="DN8" s="560">
        <v>5</v>
      </c>
      <c r="DO8" s="560">
        <f>DN8+7</f>
        <v>12</v>
      </c>
      <c r="DP8" s="560">
        <f t="shared" ref="DP8:DQ8" si="26">DO8+7</f>
        <v>19</v>
      </c>
      <c r="DQ8" s="560">
        <f t="shared" si="26"/>
        <v>26</v>
      </c>
      <c r="DR8" s="560">
        <v>2</v>
      </c>
      <c r="DS8" s="560">
        <f>DR8+7</f>
        <v>9</v>
      </c>
      <c r="DT8" s="560">
        <f t="shared" ref="DT8:DV8" si="27">DS8+7</f>
        <v>16</v>
      </c>
      <c r="DU8" s="560">
        <f t="shared" si="27"/>
        <v>23</v>
      </c>
      <c r="DV8" s="560">
        <f t="shared" si="27"/>
        <v>30</v>
      </c>
      <c r="DW8" s="560">
        <v>7</v>
      </c>
      <c r="DX8" s="560">
        <f>DW8+7</f>
        <v>14</v>
      </c>
      <c r="DY8" s="560">
        <f t="shared" ref="DY8:DZ8" si="28">DX8+7</f>
        <v>21</v>
      </c>
      <c r="DZ8" s="560">
        <f t="shared" si="28"/>
        <v>28</v>
      </c>
      <c r="EA8" s="560">
        <v>4</v>
      </c>
      <c r="EB8" s="560">
        <f>EA8+7</f>
        <v>11</v>
      </c>
      <c r="EC8" s="560">
        <f t="shared" ref="EC8:ED8" si="29">EB8+7</f>
        <v>18</v>
      </c>
      <c r="ED8" s="560">
        <f t="shared" si="29"/>
        <v>25</v>
      </c>
      <c r="EE8" s="560">
        <v>2</v>
      </c>
      <c r="EF8" s="560">
        <f>EE8+7</f>
        <v>9</v>
      </c>
      <c r="EG8" s="560">
        <f t="shared" ref="EG8:EI8" si="30">EF8+7</f>
        <v>16</v>
      </c>
      <c r="EH8" s="560">
        <f t="shared" si="30"/>
        <v>23</v>
      </c>
      <c r="EI8" s="560">
        <f t="shared" si="30"/>
        <v>30</v>
      </c>
      <c r="EJ8" s="560">
        <v>6</v>
      </c>
      <c r="EK8" s="560">
        <f>EJ8+7</f>
        <v>13</v>
      </c>
      <c r="EL8" s="560">
        <f t="shared" ref="EL8:EM8" si="31">EK8+7</f>
        <v>20</v>
      </c>
      <c r="EM8" s="560">
        <f t="shared" si="31"/>
        <v>27</v>
      </c>
      <c r="EN8" s="560">
        <v>3</v>
      </c>
      <c r="EO8" s="560">
        <f>EN8+7</f>
        <v>10</v>
      </c>
      <c r="EP8" s="560">
        <f t="shared" ref="EP8:EQ8" si="32">EO8+7</f>
        <v>17</v>
      </c>
      <c r="EQ8" s="560">
        <f t="shared" si="32"/>
        <v>24</v>
      </c>
      <c r="ER8" s="560">
        <v>1</v>
      </c>
      <c r="ES8" s="560">
        <f>ER8+7</f>
        <v>8</v>
      </c>
      <c r="ET8" s="560">
        <f t="shared" ref="ET8:EV8" si="33">ES8+7</f>
        <v>15</v>
      </c>
      <c r="EU8" s="560">
        <f t="shared" si="33"/>
        <v>22</v>
      </c>
      <c r="EV8" s="560">
        <f t="shared" si="33"/>
        <v>29</v>
      </c>
      <c r="EW8" s="560">
        <v>5</v>
      </c>
      <c r="EX8" s="560">
        <f>EW8+7</f>
        <v>12</v>
      </c>
      <c r="EY8" s="560">
        <f t="shared" ref="EY8:EZ8" si="34">EX8+7</f>
        <v>19</v>
      </c>
      <c r="EZ8" s="560">
        <f t="shared" si="34"/>
        <v>26</v>
      </c>
      <c r="FA8" s="560"/>
      <c r="FB8" s="560">
        <v>3</v>
      </c>
      <c r="FC8" s="560">
        <f>FB8+7</f>
        <v>10</v>
      </c>
      <c r="FD8" s="560">
        <f t="shared" ref="FD8:FF8" si="35">FC8+7</f>
        <v>17</v>
      </c>
      <c r="FE8" s="560">
        <f t="shared" si="35"/>
        <v>24</v>
      </c>
      <c r="FF8" s="560">
        <f t="shared" si="35"/>
        <v>31</v>
      </c>
      <c r="FG8" s="301">
        <v>7</v>
      </c>
      <c r="FH8" s="301">
        <v>14</v>
      </c>
      <c r="FI8" s="301">
        <v>21</v>
      </c>
      <c r="FJ8" s="301">
        <v>28</v>
      </c>
      <c r="FK8" s="301">
        <v>4</v>
      </c>
      <c r="FL8" s="301">
        <v>11</v>
      </c>
      <c r="FM8" s="301">
        <v>18</v>
      </c>
      <c r="FN8" s="301">
        <v>23</v>
      </c>
    </row>
    <row r="9" spans="2:170" ht="15.75" thickBot="1" x14ac:dyDescent="0.3">
      <c r="C9" s="573"/>
      <c r="D9" s="459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0"/>
      <c r="AS9" s="460"/>
      <c r="AT9" s="460"/>
      <c r="AU9" s="460"/>
      <c r="AV9" s="460"/>
      <c r="AW9" s="557"/>
      <c r="AX9" s="557"/>
      <c r="AY9" s="557"/>
      <c r="AZ9" s="557"/>
      <c r="BA9" s="557"/>
      <c r="BB9" s="557"/>
      <c r="BC9" s="557"/>
      <c r="BD9" s="557"/>
      <c r="BE9" s="557"/>
      <c r="BF9" s="557"/>
      <c r="BG9" s="557"/>
      <c r="BH9" s="557"/>
      <c r="BI9" s="557"/>
      <c r="BJ9" s="557"/>
      <c r="BK9" s="557"/>
      <c r="BL9" s="557"/>
      <c r="BM9" s="557"/>
      <c r="BN9" s="557"/>
      <c r="BO9" s="557"/>
      <c r="BP9" s="557"/>
      <c r="BQ9" s="557"/>
      <c r="BR9" s="557"/>
      <c r="BS9" s="557"/>
      <c r="BT9" s="557"/>
      <c r="BU9" s="557"/>
      <c r="BV9" s="557"/>
      <c r="BW9" s="557"/>
      <c r="BX9" s="557"/>
      <c r="BY9" s="557"/>
      <c r="BZ9" s="557"/>
      <c r="CA9" s="557"/>
      <c r="CB9" s="557"/>
      <c r="CC9" s="557"/>
      <c r="CD9" s="557"/>
      <c r="CE9" s="557"/>
      <c r="CF9" s="557"/>
      <c r="CG9" s="557"/>
      <c r="CH9" s="557"/>
      <c r="CI9" s="557"/>
      <c r="CJ9" s="557"/>
      <c r="CK9" s="557"/>
      <c r="CL9" s="557"/>
      <c r="CM9" s="557"/>
      <c r="CN9" s="557"/>
      <c r="CO9" s="557"/>
      <c r="CP9" s="557"/>
      <c r="CQ9" s="557"/>
      <c r="CR9" s="557"/>
      <c r="CS9" s="557"/>
      <c r="CT9" s="557"/>
      <c r="CU9" s="557"/>
      <c r="CV9" s="557"/>
      <c r="CW9" s="557"/>
      <c r="CX9" s="557"/>
      <c r="CY9" s="557"/>
      <c r="CZ9" s="557"/>
      <c r="DA9" s="557"/>
      <c r="DB9" s="557"/>
      <c r="DC9" s="557"/>
      <c r="DD9" s="557"/>
      <c r="DE9" s="557"/>
      <c r="DF9" s="557"/>
      <c r="DG9" s="557"/>
      <c r="DH9" s="557"/>
      <c r="DI9" s="557"/>
      <c r="DJ9" s="557"/>
      <c r="DK9" s="557"/>
      <c r="DL9" s="557"/>
      <c r="DM9" s="557"/>
      <c r="DN9" s="557"/>
      <c r="DO9" s="557"/>
      <c r="DP9" s="557"/>
      <c r="DQ9" s="557"/>
      <c r="DR9" s="557"/>
      <c r="DS9" s="557"/>
      <c r="DT9" s="557"/>
      <c r="DU9" s="557"/>
      <c r="DV9" s="557"/>
      <c r="DW9" s="557"/>
      <c r="DX9" s="557"/>
      <c r="DY9" s="557"/>
      <c r="DZ9" s="557"/>
      <c r="EA9" s="557"/>
      <c r="EB9" s="557"/>
      <c r="EC9" s="557"/>
      <c r="ED9" s="557"/>
      <c r="EE9" s="557"/>
      <c r="EF9" s="557"/>
      <c r="EG9" s="557"/>
      <c r="EH9" s="557"/>
      <c r="EI9" s="557"/>
      <c r="EJ9" s="557"/>
      <c r="EK9" s="557"/>
      <c r="EL9" s="557"/>
      <c r="EM9" s="557"/>
      <c r="EN9" s="557"/>
      <c r="EO9" s="557"/>
      <c r="EP9" s="557"/>
      <c r="EQ9" s="557"/>
      <c r="ER9" s="557"/>
      <c r="ES9" s="557"/>
      <c r="ET9" s="557"/>
      <c r="EU9" s="557"/>
      <c r="EV9" s="557"/>
      <c r="EW9" s="557"/>
      <c r="EX9" s="557"/>
      <c r="EY9" s="557"/>
      <c r="EZ9" s="557"/>
      <c r="FA9" s="557"/>
      <c r="FB9" s="557"/>
      <c r="FC9" s="557"/>
      <c r="FD9" s="557"/>
      <c r="FE9" s="557"/>
      <c r="FF9" s="557"/>
      <c r="FG9" s="301"/>
      <c r="FH9" s="301"/>
      <c r="FI9" s="301"/>
      <c r="FJ9" s="301"/>
      <c r="FK9" s="301"/>
      <c r="FL9" s="301"/>
      <c r="FM9" s="301"/>
      <c r="FN9" s="301"/>
    </row>
    <row r="10" spans="2:170" x14ac:dyDescent="0.25">
      <c r="C10" s="575">
        <v>1</v>
      </c>
      <c r="D10" s="572" t="s">
        <v>229</v>
      </c>
      <c r="E10" s="577"/>
      <c r="F10" s="577"/>
      <c r="G10" s="577"/>
      <c r="H10" s="577"/>
      <c r="I10" s="464"/>
      <c r="J10" s="577"/>
      <c r="K10" s="577"/>
      <c r="L10" s="577"/>
      <c r="M10" s="590"/>
      <c r="N10" s="590"/>
      <c r="O10" s="577"/>
      <c r="P10" s="577"/>
      <c r="Q10" s="577"/>
      <c r="R10" s="577"/>
      <c r="S10" s="577"/>
      <c r="T10" s="577"/>
      <c r="U10" s="577"/>
      <c r="V10" s="577"/>
      <c r="W10" s="577"/>
      <c r="X10" s="577"/>
      <c r="Y10" s="577"/>
      <c r="Z10" s="577"/>
      <c r="AA10" s="577"/>
      <c r="AB10" s="577"/>
      <c r="AC10" s="577"/>
      <c r="AD10" s="577"/>
      <c r="AE10" s="577"/>
      <c r="AF10" s="577"/>
      <c r="AG10" s="577"/>
      <c r="AH10" s="577"/>
      <c r="AI10" s="577"/>
      <c r="AJ10" s="577"/>
      <c r="AK10" s="577"/>
      <c r="AL10" s="577"/>
      <c r="AM10" s="577"/>
      <c r="AN10" s="577"/>
      <c r="AO10" s="577"/>
      <c r="AP10" s="577"/>
      <c r="AQ10" s="577"/>
      <c r="AR10" s="577"/>
      <c r="AS10" s="577"/>
      <c r="AT10" s="577"/>
      <c r="AU10" s="577"/>
      <c r="AV10" s="578"/>
      <c r="AW10" s="577"/>
      <c r="AX10" s="577"/>
      <c r="AY10" s="577"/>
      <c r="AZ10" s="577"/>
      <c r="BA10" s="579"/>
      <c r="BB10" s="579"/>
      <c r="BC10" s="579"/>
      <c r="BD10" s="579"/>
      <c r="BE10" s="579"/>
      <c r="BF10" s="579"/>
      <c r="BG10" s="579"/>
      <c r="BH10" s="579"/>
      <c r="BI10" s="579"/>
      <c r="BJ10" s="579"/>
      <c r="BK10" s="579"/>
      <c r="BL10" s="579"/>
      <c r="BM10" s="579"/>
      <c r="BN10" s="579"/>
      <c r="BO10" s="579"/>
      <c r="BP10" s="579"/>
      <c r="BQ10" s="579"/>
      <c r="BR10" s="579"/>
      <c r="BS10" s="579"/>
      <c r="BT10" s="579"/>
      <c r="BU10" s="579"/>
      <c r="BV10" s="579"/>
      <c r="BW10" s="579"/>
      <c r="BX10" s="579"/>
      <c r="BY10" s="579"/>
      <c r="BZ10" s="579"/>
      <c r="CA10" s="579"/>
      <c r="CB10" s="579"/>
      <c r="CC10" s="579"/>
      <c r="CD10" s="579"/>
      <c r="CE10" s="579"/>
      <c r="CF10" s="579"/>
      <c r="CG10" s="579"/>
      <c r="CH10" s="579"/>
      <c r="CI10" s="579"/>
      <c r="CJ10" s="579"/>
      <c r="CK10" s="579"/>
      <c r="CL10" s="579"/>
      <c r="CM10" s="579"/>
      <c r="CN10" s="579"/>
      <c r="CO10" s="579"/>
      <c r="CP10" s="579"/>
      <c r="CQ10" s="579"/>
      <c r="CR10" s="579"/>
      <c r="CS10" s="579"/>
      <c r="CT10" s="579"/>
      <c r="CU10" s="579"/>
      <c r="CV10" s="579"/>
      <c r="CW10" s="579"/>
      <c r="CX10" s="579"/>
      <c r="CY10" s="579"/>
      <c r="CZ10" s="579"/>
      <c r="DA10" s="464"/>
      <c r="DB10" s="464"/>
      <c r="DC10" s="464"/>
      <c r="DD10" s="464"/>
      <c r="DE10" s="464"/>
      <c r="DF10" s="464"/>
      <c r="DG10" s="464"/>
      <c r="DH10" s="464"/>
      <c r="DI10" s="464"/>
      <c r="DJ10" s="464"/>
      <c r="DK10" s="464"/>
      <c r="DL10" s="464"/>
      <c r="DM10" s="464"/>
      <c r="DN10" s="464"/>
      <c r="DO10" s="464"/>
      <c r="DP10" s="464"/>
      <c r="DQ10" s="464"/>
      <c r="DR10" s="464"/>
      <c r="DS10" s="464"/>
      <c r="DT10" s="464"/>
      <c r="DU10" s="464"/>
      <c r="DV10" s="464"/>
      <c r="DW10" s="464"/>
      <c r="DX10" s="464"/>
      <c r="DY10" s="464"/>
      <c r="DZ10" s="464"/>
      <c r="EA10" s="464"/>
      <c r="EB10" s="464"/>
      <c r="EC10" s="464"/>
      <c r="ED10" s="464"/>
      <c r="EE10" s="464"/>
      <c r="EF10" s="464"/>
      <c r="EG10" s="464"/>
      <c r="EH10" s="464"/>
      <c r="EI10" s="464"/>
      <c r="EJ10" s="464"/>
      <c r="EK10" s="464"/>
      <c r="EL10" s="464"/>
      <c r="EM10" s="464"/>
      <c r="EN10" s="464"/>
      <c r="EO10" s="464"/>
      <c r="EP10" s="464"/>
      <c r="EQ10" s="464"/>
      <c r="ER10" s="464"/>
      <c r="ES10" s="464"/>
      <c r="ET10" s="464"/>
      <c r="EU10" s="464"/>
      <c r="EV10" s="464"/>
      <c r="EW10" s="464"/>
      <c r="EX10" s="464"/>
      <c r="EY10" s="464"/>
      <c r="EZ10" s="464"/>
      <c r="FA10" s="464"/>
      <c r="FB10" s="464"/>
      <c r="FC10" s="464"/>
      <c r="FD10" s="464"/>
      <c r="FE10" s="464"/>
      <c r="FF10" s="464"/>
      <c r="FG10" s="301"/>
      <c r="FH10" s="301"/>
      <c r="FI10" s="301"/>
      <c r="FJ10" s="301"/>
      <c r="FK10" s="301"/>
      <c r="FL10" s="301"/>
      <c r="FM10" s="301"/>
      <c r="FN10" s="301"/>
    </row>
    <row r="11" spans="2:170" x14ac:dyDescent="0.25">
      <c r="C11" s="550">
        <f>C10+1</f>
        <v>2</v>
      </c>
      <c r="D11" s="572" t="s">
        <v>210</v>
      </c>
      <c r="E11" s="577"/>
      <c r="F11" s="577"/>
      <c r="G11" s="577"/>
      <c r="H11" s="464"/>
      <c r="I11" s="577"/>
      <c r="J11" s="577"/>
      <c r="K11" s="577"/>
      <c r="L11" s="577"/>
      <c r="M11" s="464"/>
      <c r="N11" s="590"/>
      <c r="O11" s="577"/>
      <c r="P11" s="577"/>
      <c r="Q11" s="577"/>
      <c r="R11" s="577"/>
      <c r="S11" s="577"/>
      <c r="T11" s="577"/>
      <c r="U11" s="577"/>
      <c r="V11" s="577"/>
      <c r="W11" s="577"/>
      <c r="X11" s="577"/>
      <c r="Y11" s="577"/>
      <c r="Z11" s="577"/>
      <c r="AA11" s="577"/>
      <c r="AB11" s="577"/>
      <c r="AC11" s="577"/>
      <c r="AD11" s="577"/>
      <c r="AE11" s="577"/>
      <c r="AF11" s="577"/>
      <c r="AG11" s="577"/>
      <c r="AH11" s="577"/>
      <c r="AI11" s="577"/>
      <c r="AJ11" s="577"/>
      <c r="AK11" s="577"/>
      <c r="AL11" s="577"/>
      <c r="AM11" s="577"/>
      <c r="AN11" s="577"/>
      <c r="AO11" s="577"/>
      <c r="AP11" s="577"/>
      <c r="AQ11" s="577"/>
      <c r="AR11" s="577"/>
      <c r="AS11" s="577"/>
      <c r="AT11" s="577"/>
      <c r="AU11" s="577"/>
      <c r="AV11" s="578"/>
      <c r="AW11" s="577"/>
      <c r="AX11" s="577"/>
      <c r="AY11" s="577"/>
      <c r="AZ11" s="577"/>
      <c r="BA11" s="579"/>
      <c r="BB11" s="579"/>
      <c r="BC11" s="579"/>
      <c r="BD11" s="579"/>
      <c r="BE11" s="579"/>
      <c r="BF11" s="579"/>
      <c r="BG11" s="579"/>
      <c r="BH11" s="579"/>
      <c r="BI11" s="579"/>
      <c r="BJ11" s="579"/>
      <c r="BK11" s="579"/>
      <c r="BL11" s="579"/>
      <c r="BM11" s="579"/>
      <c r="BN11" s="579"/>
      <c r="BO11" s="579"/>
      <c r="BP11" s="579"/>
      <c r="BQ11" s="579"/>
      <c r="BR11" s="579"/>
      <c r="BS11" s="579"/>
      <c r="BT11" s="579"/>
      <c r="BU11" s="579"/>
      <c r="BV11" s="579"/>
      <c r="BW11" s="579"/>
      <c r="BX11" s="579"/>
      <c r="BY11" s="579"/>
      <c r="BZ11" s="579"/>
      <c r="CA11" s="579"/>
      <c r="CB11" s="579"/>
      <c r="CC11" s="579"/>
      <c r="CD11" s="579"/>
      <c r="CE11" s="579"/>
      <c r="CF11" s="579"/>
      <c r="CG11" s="579"/>
      <c r="CH11" s="579"/>
      <c r="CI11" s="579"/>
      <c r="CJ11" s="579"/>
      <c r="CK11" s="579"/>
      <c r="CL11" s="579"/>
      <c r="CM11" s="579"/>
      <c r="CN11" s="579"/>
      <c r="CO11" s="579"/>
      <c r="CP11" s="579"/>
      <c r="CQ11" s="579"/>
      <c r="CR11" s="579"/>
      <c r="CS11" s="579"/>
      <c r="CT11" s="579"/>
      <c r="CU11" s="579"/>
      <c r="CV11" s="579"/>
      <c r="CW11" s="579"/>
      <c r="CX11" s="579"/>
      <c r="CY11" s="579"/>
      <c r="CZ11" s="579"/>
      <c r="DA11" s="464"/>
      <c r="DB11" s="464"/>
      <c r="DC11" s="464"/>
      <c r="DD11" s="464"/>
      <c r="DE11" s="464"/>
      <c r="DF11" s="464"/>
      <c r="DG11" s="464"/>
      <c r="DH11" s="464"/>
      <c r="DI11" s="464"/>
      <c r="DJ11" s="464"/>
      <c r="DK11" s="464"/>
      <c r="DL11" s="464"/>
      <c r="DM11" s="464"/>
      <c r="DN11" s="464"/>
      <c r="DO11" s="464"/>
      <c r="DP11" s="464"/>
      <c r="DQ11" s="464"/>
      <c r="DR11" s="464"/>
      <c r="DS11" s="464"/>
      <c r="DT11" s="464"/>
      <c r="DU11" s="464"/>
      <c r="DV11" s="464"/>
      <c r="DW11" s="464"/>
      <c r="DX11" s="464"/>
      <c r="DY11" s="464"/>
      <c r="DZ11" s="464"/>
      <c r="EA11" s="464"/>
      <c r="EB11" s="464"/>
      <c r="EC11" s="464"/>
      <c r="ED11" s="464"/>
      <c r="EE11" s="464"/>
      <c r="EF11" s="464"/>
      <c r="EG11" s="464"/>
      <c r="EH11" s="464"/>
      <c r="EI11" s="464"/>
      <c r="EJ11" s="464"/>
      <c r="EK11" s="464"/>
      <c r="EL11" s="464"/>
      <c r="EM11" s="464"/>
      <c r="EN11" s="464"/>
      <c r="EO11" s="464"/>
      <c r="EP11" s="464"/>
      <c r="EQ11" s="464"/>
      <c r="ER11" s="464"/>
      <c r="ES11" s="464"/>
      <c r="ET11" s="464"/>
      <c r="EU11" s="464"/>
      <c r="EV11" s="464"/>
      <c r="EW11" s="464"/>
      <c r="EX11" s="464"/>
      <c r="EY11" s="464"/>
      <c r="EZ11" s="464"/>
      <c r="FA11" s="464"/>
      <c r="FB11" s="464"/>
      <c r="FC11" s="464"/>
      <c r="FD11" s="464"/>
      <c r="FE11" s="464"/>
      <c r="FF11" s="464"/>
      <c r="FG11" s="301"/>
      <c r="FH11" s="301"/>
      <c r="FI11" s="301"/>
      <c r="FJ11" s="301"/>
      <c r="FK11" s="301"/>
      <c r="FL11" s="301"/>
      <c r="FM11" s="301"/>
      <c r="FN11" s="301"/>
    </row>
    <row r="12" spans="2:170" x14ac:dyDescent="0.25">
      <c r="C12" s="550">
        <v>3</v>
      </c>
      <c r="D12" s="572" t="s">
        <v>211</v>
      </c>
      <c r="E12" s="577"/>
      <c r="F12" s="577"/>
      <c r="G12" s="577"/>
      <c r="H12" s="577"/>
      <c r="I12" s="577"/>
      <c r="J12" s="577"/>
      <c r="K12" s="577"/>
      <c r="L12" s="577"/>
      <c r="M12" s="577"/>
      <c r="N12" s="577"/>
      <c r="O12" s="464"/>
      <c r="P12" s="589"/>
      <c r="Q12" s="590"/>
      <c r="R12" s="590"/>
      <c r="S12" s="577"/>
      <c r="T12" s="577"/>
      <c r="U12" s="577"/>
      <c r="V12" s="577"/>
      <c r="W12" s="577"/>
      <c r="X12" s="577"/>
      <c r="Y12" s="577"/>
      <c r="Z12" s="577"/>
      <c r="AA12" s="577"/>
      <c r="AB12" s="577"/>
      <c r="AC12" s="577"/>
      <c r="AD12" s="577"/>
      <c r="AE12" s="577"/>
      <c r="AF12" s="577"/>
      <c r="AG12" s="577"/>
      <c r="AH12" s="577"/>
      <c r="AI12" s="577"/>
      <c r="AJ12" s="577"/>
      <c r="AK12" s="577"/>
      <c r="AL12" s="577"/>
      <c r="AM12" s="577"/>
      <c r="AN12" s="577"/>
      <c r="AO12" s="577"/>
      <c r="AP12" s="577"/>
      <c r="AQ12" s="577"/>
      <c r="AR12" s="577"/>
      <c r="AS12" s="577"/>
      <c r="AT12" s="577"/>
      <c r="AU12" s="577"/>
      <c r="AV12" s="578"/>
      <c r="AW12" s="577"/>
      <c r="AX12" s="577"/>
      <c r="AY12" s="577"/>
      <c r="AZ12" s="577"/>
      <c r="BA12" s="579"/>
      <c r="BB12" s="579"/>
      <c r="BC12" s="579"/>
      <c r="BD12" s="579"/>
      <c r="BE12" s="579"/>
      <c r="BF12" s="579"/>
      <c r="BG12" s="579"/>
      <c r="BH12" s="579"/>
      <c r="BI12" s="579"/>
      <c r="BJ12" s="579"/>
      <c r="BK12" s="579"/>
      <c r="BL12" s="579"/>
      <c r="BM12" s="579"/>
      <c r="BN12" s="579"/>
      <c r="BO12" s="579"/>
      <c r="BP12" s="579"/>
      <c r="BQ12" s="579"/>
      <c r="BR12" s="579"/>
      <c r="BS12" s="579"/>
      <c r="BT12" s="579"/>
      <c r="BU12" s="579"/>
      <c r="BV12" s="579"/>
      <c r="BW12" s="579"/>
      <c r="BX12" s="579"/>
      <c r="BY12" s="579"/>
      <c r="BZ12" s="579"/>
      <c r="CA12" s="579"/>
      <c r="CB12" s="579"/>
      <c r="CC12" s="579"/>
      <c r="CD12" s="579"/>
      <c r="CE12" s="579"/>
      <c r="CF12" s="579"/>
      <c r="CG12" s="579"/>
      <c r="CH12" s="579"/>
      <c r="CI12" s="579"/>
      <c r="CJ12" s="579"/>
      <c r="CK12" s="579"/>
      <c r="CL12" s="579"/>
      <c r="CM12" s="579"/>
      <c r="CN12" s="579"/>
      <c r="CO12" s="579"/>
      <c r="CP12" s="579"/>
      <c r="CQ12" s="579"/>
      <c r="CR12" s="579"/>
      <c r="CS12" s="579"/>
      <c r="CT12" s="579"/>
      <c r="CU12" s="579"/>
      <c r="CV12" s="579"/>
      <c r="CW12" s="579"/>
      <c r="CX12" s="579"/>
      <c r="CY12" s="579"/>
      <c r="CZ12" s="579"/>
      <c r="DA12" s="464"/>
      <c r="DB12" s="464"/>
      <c r="DC12" s="464"/>
      <c r="DD12" s="464"/>
      <c r="DE12" s="464"/>
      <c r="DF12" s="464"/>
      <c r="DG12" s="464"/>
      <c r="DH12" s="464"/>
      <c r="DI12" s="464"/>
      <c r="DJ12" s="464"/>
      <c r="DK12" s="464"/>
      <c r="DL12" s="464"/>
      <c r="DM12" s="464"/>
      <c r="DN12" s="464"/>
      <c r="DO12" s="464"/>
      <c r="DP12" s="464"/>
      <c r="DQ12" s="464"/>
      <c r="DR12" s="464"/>
      <c r="DS12" s="464"/>
      <c r="DT12" s="464"/>
      <c r="DU12" s="464"/>
      <c r="DV12" s="464"/>
      <c r="DW12" s="464"/>
      <c r="DX12" s="464"/>
      <c r="DY12" s="464"/>
      <c r="DZ12" s="464"/>
      <c r="EA12" s="464"/>
      <c r="EB12" s="464"/>
      <c r="EC12" s="464"/>
      <c r="ED12" s="464"/>
      <c r="EE12" s="464"/>
      <c r="EF12" s="464"/>
      <c r="EG12" s="464"/>
      <c r="EH12" s="464"/>
      <c r="EI12" s="464"/>
      <c r="EJ12" s="464"/>
      <c r="EK12" s="464"/>
      <c r="EL12" s="464"/>
      <c r="EM12" s="464"/>
      <c r="EN12" s="464"/>
      <c r="EO12" s="464"/>
      <c r="EP12" s="464"/>
      <c r="EQ12" s="464"/>
      <c r="ER12" s="464"/>
      <c r="ES12" s="464"/>
      <c r="ET12" s="464"/>
      <c r="EU12" s="464"/>
      <c r="EV12" s="464"/>
      <c r="EW12" s="464"/>
      <c r="EX12" s="464"/>
      <c r="EY12" s="464"/>
      <c r="EZ12" s="464"/>
      <c r="FA12" s="464"/>
      <c r="FB12" s="464"/>
      <c r="FC12" s="464"/>
      <c r="FD12" s="464"/>
      <c r="FE12" s="464"/>
      <c r="FF12" s="464"/>
      <c r="FG12" s="301"/>
      <c r="FH12" s="301"/>
      <c r="FI12" s="301"/>
      <c r="FJ12" s="301"/>
      <c r="FK12" s="301"/>
      <c r="FL12" s="301"/>
      <c r="FM12" s="301"/>
      <c r="FN12" s="301"/>
    </row>
    <row r="13" spans="2:170" x14ac:dyDescent="0.25">
      <c r="C13" s="550">
        <v>4</v>
      </c>
      <c r="D13" s="572" t="s">
        <v>218</v>
      </c>
      <c r="E13" s="577"/>
      <c r="F13" s="577"/>
      <c r="G13" s="577"/>
      <c r="H13" s="577"/>
      <c r="I13" s="577"/>
      <c r="J13" s="577"/>
      <c r="K13" s="577"/>
      <c r="L13" s="577"/>
      <c r="M13" s="577"/>
      <c r="N13" s="577"/>
      <c r="O13" s="577"/>
      <c r="P13" s="464"/>
      <c r="Q13" s="464"/>
      <c r="R13" s="590"/>
      <c r="S13" s="590"/>
      <c r="T13" s="577"/>
      <c r="U13" s="577"/>
      <c r="V13" s="577"/>
      <c r="W13" s="577"/>
      <c r="X13" s="577"/>
      <c r="Y13" s="577"/>
      <c r="Z13" s="577"/>
      <c r="AA13" s="577"/>
      <c r="AB13" s="577"/>
      <c r="AC13" s="577"/>
      <c r="AD13" s="577"/>
      <c r="AE13" s="577"/>
      <c r="AF13" s="577"/>
      <c r="AG13" s="577"/>
      <c r="AH13" s="577"/>
      <c r="AI13" s="577"/>
      <c r="AJ13" s="577"/>
      <c r="AK13" s="577"/>
      <c r="AL13" s="577"/>
      <c r="AM13" s="577"/>
      <c r="AN13" s="577"/>
      <c r="AO13" s="577"/>
      <c r="AP13" s="577"/>
      <c r="AQ13" s="577"/>
      <c r="AR13" s="577"/>
      <c r="AS13" s="577"/>
      <c r="AT13" s="577"/>
      <c r="AU13" s="577"/>
      <c r="AV13" s="578"/>
      <c r="AW13" s="577"/>
      <c r="AX13" s="577"/>
      <c r="AY13" s="577"/>
      <c r="AZ13" s="577"/>
      <c r="BA13" s="579"/>
      <c r="BB13" s="579"/>
      <c r="BC13" s="579"/>
      <c r="BD13" s="579"/>
      <c r="BE13" s="579"/>
      <c r="BF13" s="579"/>
      <c r="BG13" s="579"/>
      <c r="BH13" s="579"/>
      <c r="BI13" s="579"/>
      <c r="BJ13" s="579"/>
      <c r="BK13" s="579"/>
      <c r="BL13" s="579"/>
      <c r="BM13" s="579"/>
      <c r="BN13" s="579"/>
      <c r="BO13" s="579"/>
      <c r="BP13" s="579"/>
      <c r="BQ13" s="579"/>
      <c r="BR13" s="579"/>
      <c r="BS13" s="579"/>
      <c r="BT13" s="579"/>
      <c r="BU13" s="579"/>
      <c r="BV13" s="579"/>
      <c r="BW13" s="579"/>
      <c r="BX13" s="579"/>
      <c r="BY13" s="579"/>
      <c r="BZ13" s="579"/>
      <c r="CA13" s="579"/>
      <c r="CB13" s="579"/>
      <c r="CC13" s="579"/>
      <c r="CD13" s="579"/>
      <c r="CE13" s="579"/>
      <c r="CF13" s="579"/>
      <c r="CG13" s="579"/>
      <c r="CH13" s="579"/>
      <c r="CI13" s="579"/>
      <c r="CJ13" s="579"/>
      <c r="CK13" s="579"/>
      <c r="CL13" s="579"/>
      <c r="CM13" s="579"/>
      <c r="CN13" s="579"/>
      <c r="CO13" s="579"/>
      <c r="CP13" s="579"/>
      <c r="CQ13" s="579"/>
      <c r="CR13" s="579"/>
      <c r="CS13" s="579"/>
      <c r="CT13" s="579"/>
      <c r="CU13" s="579"/>
      <c r="CV13" s="579"/>
      <c r="CW13" s="579"/>
      <c r="CX13" s="579"/>
      <c r="CY13" s="579"/>
      <c r="CZ13" s="579"/>
      <c r="DA13" s="464"/>
      <c r="DB13" s="464"/>
      <c r="DC13" s="464"/>
      <c r="DD13" s="464"/>
      <c r="DE13" s="464"/>
      <c r="DF13" s="464"/>
      <c r="DG13" s="464"/>
      <c r="DH13" s="464"/>
      <c r="DI13" s="464"/>
      <c r="DJ13" s="464"/>
      <c r="DK13" s="464"/>
      <c r="DL13" s="464"/>
      <c r="DM13" s="464"/>
      <c r="DN13" s="464"/>
      <c r="DO13" s="464"/>
      <c r="DP13" s="464"/>
      <c r="DQ13" s="464"/>
      <c r="DR13" s="464"/>
      <c r="DS13" s="464"/>
      <c r="DT13" s="464"/>
      <c r="DU13" s="464"/>
      <c r="DV13" s="464"/>
      <c r="DW13" s="464"/>
      <c r="DX13" s="464"/>
      <c r="DY13" s="464"/>
      <c r="DZ13" s="464"/>
      <c r="EA13" s="464"/>
      <c r="EB13" s="464"/>
      <c r="EC13" s="464"/>
      <c r="ED13" s="464"/>
      <c r="EE13" s="464"/>
      <c r="EF13" s="464"/>
      <c r="EG13" s="464"/>
      <c r="EH13" s="464"/>
      <c r="EI13" s="464"/>
      <c r="EJ13" s="464"/>
      <c r="EK13" s="464"/>
      <c r="EL13" s="464"/>
      <c r="EM13" s="464"/>
      <c r="EN13" s="464"/>
      <c r="EO13" s="464"/>
      <c r="EP13" s="464"/>
      <c r="EQ13" s="464"/>
      <c r="ER13" s="464"/>
      <c r="ES13" s="464"/>
      <c r="ET13" s="464"/>
      <c r="EU13" s="464"/>
      <c r="EV13" s="464"/>
      <c r="EW13" s="464"/>
      <c r="EX13" s="464"/>
      <c r="EY13" s="464"/>
      <c r="EZ13" s="464"/>
      <c r="FA13" s="464"/>
      <c r="FB13" s="464"/>
      <c r="FC13" s="464"/>
      <c r="FD13" s="464"/>
      <c r="FE13" s="464"/>
      <c r="FF13" s="464"/>
      <c r="FG13" s="301"/>
      <c r="FH13" s="301"/>
      <c r="FI13" s="301"/>
      <c r="FJ13" s="301"/>
      <c r="FK13" s="301"/>
      <c r="FL13" s="301"/>
      <c r="FM13" s="301"/>
      <c r="FN13" s="301"/>
    </row>
    <row r="14" spans="2:170" ht="15.75" thickBot="1" x14ac:dyDescent="0.3">
      <c r="C14" s="576">
        <v>5</v>
      </c>
      <c r="D14" s="572" t="s">
        <v>217</v>
      </c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  <c r="P14" s="464"/>
      <c r="Q14" s="464"/>
      <c r="R14" s="590"/>
      <c r="S14" s="590"/>
      <c r="T14" s="577"/>
      <c r="U14" s="577"/>
      <c r="V14" s="577"/>
      <c r="W14" s="577"/>
      <c r="X14" s="577"/>
      <c r="Y14" s="577"/>
      <c r="Z14" s="577"/>
      <c r="AA14" s="577"/>
      <c r="AB14" s="577"/>
      <c r="AC14" s="577"/>
      <c r="AD14" s="577"/>
      <c r="AE14" s="577"/>
      <c r="AF14" s="577"/>
      <c r="AG14" s="577"/>
      <c r="AH14" s="577"/>
      <c r="AI14" s="577"/>
      <c r="AJ14" s="577"/>
      <c r="AK14" s="577"/>
      <c r="AL14" s="577"/>
      <c r="AM14" s="577"/>
      <c r="AN14" s="577"/>
      <c r="AO14" s="577"/>
      <c r="AP14" s="577"/>
      <c r="AQ14" s="577"/>
      <c r="AR14" s="577"/>
      <c r="AS14" s="577"/>
      <c r="AT14" s="577"/>
      <c r="AU14" s="577"/>
      <c r="AV14" s="578"/>
      <c r="AW14" s="577"/>
      <c r="AX14" s="577"/>
      <c r="AY14" s="577"/>
      <c r="AZ14" s="577"/>
      <c r="BA14" s="579"/>
      <c r="BB14" s="579"/>
      <c r="BC14" s="579"/>
      <c r="BD14" s="579"/>
      <c r="BE14" s="579"/>
      <c r="BF14" s="579"/>
      <c r="BG14" s="579"/>
      <c r="BH14" s="579"/>
      <c r="BI14" s="579"/>
      <c r="BJ14" s="579"/>
      <c r="BK14" s="579"/>
      <c r="BL14" s="579"/>
      <c r="BM14" s="579"/>
      <c r="BN14" s="579"/>
      <c r="BO14" s="579"/>
      <c r="BP14" s="579"/>
      <c r="BQ14" s="579"/>
      <c r="BR14" s="579"/>
      <c r="BS14" s="579"/>
      <c r="BT14" s="579"/>
      <c r="BU14" s="579"/>
      <c r="BV14" s="579"/>
      <c r="BW14" s="579"/>
      <c r="BX14" s="579"/>
      <c r="BY14" s="579"/>
      <c r="BZ14" s="579"/>
      <c r="CA14" s="579"/>
      <c r="CB14" s="579"/>
      <c r="CC14" s="579"/>
      <c r="CD14" s="579"/>
      <c r="CE14" s="579"/>
      <c r="CF14" s="579"/>
      <c r="CG14" s="579"/>
      <c r="CH14" s="579"/>
      <c r="CI14" s="579"/>
      <c r="CJ14" s="579"/>
      <c r="CK14" s="579"/>
      <c r="CL14" s="579"/>
      <c r="CM14" s="579"/>
      <c r="CN14" s="579"/>
      <c r="CO14" s="579"/>
      <c r="CP14" s="579"/>
      <c r="CQ14" s="579"/>
      <c r="CR14" s="579"/>
      <c r="CS14" s="579"/>
      <c r="CT14" s="579"/>
      <c r="CU14" s="579"/>
      <c r="CV14" s="579"/>
      <c r="CW14" s="579"/>
      <c r="CX14" s="579"/>
      <c r="CY14" s="579"/>
      <c r="CZ14" s="579"/>
      <c r="DA14" s="464"/>
      <c r="DB14" s="464"/>
      <c r="DC14" s="464"/>
      <c r="DD14" s="464"/>
      <c r="DE14" s="464"/>
      <c r="DF14" s="464"/>
      <c r="DG14" s="464"/>
      <c r="DH14" s="464"/>
      <c r="DI14" s="464"/>
      <c r="DJ14" s="464"/>
      <c r="DK14" s="464"/>
      <c r="DL14" s="464"/>
      <c r="DM14" s="464"/>
      <c r="DN14" s="464"/>
      <c r="DO14" s="464"/>
      <c r="DP14" s="464"/>
      <c r="DQ14" s="464"/>
      <c r="DR14" s="464"/>
      <c r="DS14" s="464"/>
      <c r="DT14" s="464"/>
      <c r="DU14" s="464"/>
      <c r="DV14" s="464"/>
      <c r="DW14" s="464"/>
      <c r="DX14" s="464"/>
      <c r="DY14" s="464"/>
      <c r="DZ14" s="464"/>
      <c r="EA14" s="464"/>
      <c r="EB14" s="464"/>
      <c r="EC14" s="464"/>
      <c r="ED14" s="464"/>
      <c r="EE14" s="464"/>
      <c r="EF14" s="464"/>
      <c r="EG14" s="464"/>
      <c r="EH14" s="464"/>
      <c r="EI14" s="464"/>
      <c r="EJ14" s="464"/>
      <c r="EK14" s="464"/>
      <c r="EL14" s="464"/>
      <c r="EM14" s="464"/>
      <c r="EN14" s="464"/>
      <c r="EO14" s="464"/>
      <c r="EP14" s="464"/>
      <c r="EQ14" s="464"/>
      <c r="ER14" s="464"/>
      <c r="ES14" s="464"/>
      <c r="ET14" s="464"/>
      <c r="EU14" s="464"/>
      <c r="EV14" s="464"/>
      <c r="EW14" s="464"/>
      <c r="EX14" s="464"/>
      <c r="EY14" s="464"/>
      <c r="EZ14" s="464"/>
      <c r="FA14" s="464"/>
      <c r="FB14" s="464"/>
      <c r="FC14" s="464"/>
      <c r="FD14" s="464"/>
      <c r="FE14" s="464"/>
      <c r="FF14" s="464"/>
      <c r="FG14" s="301"/>
      <c r="FH14" s="301"/>
      <c r="FI14" s="301"/>
      <c r="FJ14" s="301"/>
      <c r="FK14" s="301"/>
      <c r="FL14" s="301"/>
      <c r="FM14" s="301"/>
      <c r="FN14" s="301"/>
    </row>
    <row r="15" spans="2:170" ht="15.75" thickBot="1" x14ac:dyDescent="0.3">
      <c r="C15" s="574"/>
      <c r="D15" s="556"/>
      <c r="E15" s="577"/>
      <c r="F15" s="577"/>
      <c r="G15" s="577"/>
      <c r="H15" s="577"/>
      <c r="I15" s="577"/>
      <c r="J15" s="577"/>
      <c r="K15" s="577"/>
      <c r="L15" s="577"/>
      <c r="M15" s="577"/>
      <c r="N15" s="577"/>
      <c r="O15" s="577"/>
      <c r="P15" s="577"/>
      <c r="Q15" s="577"/>
      <c r="R15" s="577"/>
      <c r="S15" s="577"/>
      <c r="T15" s="577"/>
      <c r="U15" s="577"/>
      <c r="V15" s="577"/>
      <c r="W15" s="577"/>
      <c r="X15" s="577"/>
      <c r="Y15" s="577"/>
      <c r="Z15" s="577"/>
      <c r="AA15" s="577"/>
      <c r="AB15" s="577"/>
      <c r="AC15" s="577"/>
      <c r="AD15" s="577"/>
      <c r="AE15" s="577"/>
      <c r="AF15" s="577"/>
      <c r="AG15" s="577"/>
      <c r="AH15" s="577"/>
      <c r="AI15" s="577"/>
      <c r="AJ15" s="577"/>
      <c r="AK15" s="577"/>
      <c r="AL15" s="577"/>
      <c r="AM15" s="577"/>
      <c r="AN15" s="577"/>
      <c r="AO15" s="577"/>
      <c r="AP15" s="577"/>
      <c r="AQ15" s="577"/>
      <c r="AR15" s="577"/>
      <c r="AS15" s="577"/>
      <c r="AT15" s="577"/>
      <c r="AU15" s="577"/>
      <c r="AV15" s="578"/>
      <c r="AW15" s="577"/>
      <c r="AX15" s="577"/>
      <c r="AY15" s="577"/>
      <c r="AZ15" s="577"/>
      <c r="BA15" s="577"/>
      <c r="BB15" s="577"/>
      <c r="BC15" s="577"/>
      <c r="BD15" s="577"/>
      <c r="BE15" s="577"/>
      <c r="BF15" s="577"/>
      <c r="BG15" s="577"/>
      <c r="BH15" s="577"/>
      <c r="BI15" s="577"/>
      <c r="BJ15" s="577"/>
      <c r="BK15" s="577"/>
      <c r="BL15" s="577"/>
      <c r="BM15" s="577"/>
      <c r="BN15" s="577"/>
      <c r="BO15" s="577"/>
      <c r="BP15" s="577"/>
      <c r="BQ15" s="577"/>
      <c r="BR15" s="577"/>
      <c r="BS15" s="577"/>
      <c r="BT15" s="577"/>
      <c r="BU15" s="577"/>
      <c r="BV15" s="577"/>
      <c r="BW15" s="577"/>
      <c r="BX15" s="577"/>
      <c r="BY15" s="577"/>
      <c r="BZ15" s="577"/>
      <c r="CA15" s="577"/>
      <c r="CB15" s="577"/>
      <c r="CC15" s="577"/>
      <c r="CD15" s="577"/>
      <c r="CE15" s="577"/>
      <c r="CF15" s="577"/>
      <c r="CG15" s="577"/>
      <c r="CH15" s="577"/>
      <c r="CI15" s="577"/>
      <c r="CJ15" s="577"/>
      <c r="CK15" s="577"/>
      <c r="CL15" s="577"/>
      <c r="CM15" s="577"/>
      <c r="CN15" s="577"/>
      <c r="CO15" s="577"/>
      <c r="CP15" s="577"/>
      <c r="CQ15" s="577"/>
      <c r="CR15" s="577"/>
      <c r="CS15" s="577"/>
      <c r="CT15" s="577"/>
      <c r="CU15" s="577"/>
      <c r="CV15" s="577"/>
      <c r="CW15" s="577"/>
      <c r="CX15" s="577"/>
      <c r="CY15" s="577"/>
      <c r="CZ15" s="577"/>
      <c r="DA15" s="577"/>
      <c r="DB15" s="577"/>
      <c r="DC15" s="577"/>
      <c r="DD15" s="577"/>
      <c r="DE15" s="577"/>
      <c r="DF15" s="577"/>
      <c r="DG15" s="577"/>
      <c r="DH15" s="577"/>
      <c r="DI15" s="577"/>
      <c r="DJ15" s="577"/>
      <c r="DK15" s="577"/>
      <c r="DL15" s="577"/>
      <c r="DM15" s="577"/>
      <c r="DN15" s="577"/>
      <c r="DO15" s="577"/>
      <c r="DP15" s="667"/>
      <c r="DQ15" s="577"/>
      <c r="DR15" s="577"/>
      <c r="DS15" s="577"/>
      <c r="DT15" s="577"/>
      <c r="DU15" s="577"/>
      <c r="DV15" s="577"/>
      <c r="DW15" s="577"/>
      <c r="DX15" s="577"/>
      <c r="DY15" s="577"/>
      <c r="DZ15" s="577"/>
      <c r="EA15" s="577"/>
      <c r="EB15" s="577"/>
      <c r="EC15" s="577"/>
      <c r="ED15" s="577"/>
      <c r="EE15" s="577"/>
      <c r="EF15" s="577"/>
      <c r="EG15" s="577"/>
      <c r="EH15" s="577"/>
      <c r="EI15" s="577"/>
      <c r="EJ15" s="577"/>
      <c r="EK15" s="577"/>
      <c r="EL15" s="577"/>
      <c r="EM15" s="577"/>
      <c r="EN15" s="577"/>
      <c r="EO15" s="577"/>
      <c r="EP15" s="577"/>
      <c r="EQ15" s="577"/>
      <c r="ER15" s="577"/>
      <c r="ES15" s="577"/>
      <c r="ET15" s="577"/>
      <c r="EU15" s="577"/>
      <c r="EV15" s="577"/>
      <c r="EW15" s="577"/>
      <c r="EX15" s="577"/>
      <c r="EY15" s="577"/>
      <c r="EZ15" s="577"/>
      <c r="FA15" s="577"/>
      <c r="FB15" s="577"/>
      <c r="FC15" s="577"/>
      <c r="FD15" s="577"/>
      <c r="FE15" s="577"/>
      <c r="FF15" s="577"/>
      <c r="FG15" s="301"/>
      <c r="FH15" s="301"/>
      <c r="FI15" s="301"/>
      <c r="FJ15" s="301"/>
      <c r="FK15" s="301"/>
      <c r="FL15" s="301"/>
      <c r="FM15" s="301"/>
      <c r="FN15" s="301"/>
    </row>
    <row r="16" spans="2:170" x14ac:dyDescent="0.25">
      <c r="B16" s="983" t="s">
        <v>133</v>
      </c>
      <c r="C16" s="551">
        <f>C14+1</f>
        <v>6</v>
      </c>
      <c r="D16" s="746" t="s">
        <v>392</v>
      </c>
      <c r="E16" s="464"/>
      <c r="F16" s="464"/>
      <c r="G16" s="464"/>
      <c r="H16" s="464"/>
      <c r="I16" s="464"/>
      <c r="J16" s="464" t="s">
        <v>135</v>
      </c>
      <c r="K16" s="464"/>
      <c r="L16" s="589"/>
      <c r="M16" s="747"/>
      <c r="N16" s="464"/>
      <c r="O16" s="462"/>
      <c r="P16" s="749"/>
      <c r="Q16" s="748"/>
      <c r="R16" s="462"/>
      <c r="S16" s="462"/>
      <c r="T16" s="749"/>
      <c r="U16" s="462"/>
      <c r="V16" s="462"/>
      <c r="W16" s="462"/>
      <c r="X16" s="749"/>
      <c r="Y16" s="462"/>
      <c r="Z16" s="462"/>
      <c r="AA16" s="462"/>
      <c r="AB16" s="749"/>
      <c r="AC16" s="462"/>
      <c r="AD16" s="462"/>
      <c r="AE16" s="462"/>
      <c r="AF16" s="749"/>
      <c r="AG16" s="462"/>
      <c r="AH16" s="462"/>
      <c r="AI16" s="462"/>
      <c r="AJ16" s="749"/>
      <c r="AK16" s="462"/>
      <c r="AL16" s="666"/>
      <c r="AM16" s="462"/>
      <c r="AN16" s="462"/>
      <c r="AO16" s="748"/>
      <c r="AP16" s="462"/>
      <c r="AQ16" s="462"/>
      <c r="AR16" s="462"/>
      <c r="AS16" s="462"/>
      <c r="AT16" s="462"/>
      <c r="AU16" s="462"/>
      <c r="AV16" s="461"/>
      <c r="AW16" s="462"/>
      <c r="AX16" s="462"/>
      <c r="AY16" s="462"/>
      <c r="AZ16" s="462"/>
      <c r="BA16" s="464"/>
      <c r="BB16" s="464"/>
      <c r="BC16" s="464"/>
      <c r="BD16" s="464"/>
      <c r="BE16" s="464"/>
      <c r="BF16" s="464"/>
      <c r="BG16" s="464"/>
      <c r="BH16" s="589"/>
      <c r="BI16" s="589"/>
      <c r="BJ16" s="464"/>
      <c r="BK16" s="464"/>
      <c r="BL16" s="464"/>
      <c r="BM16" s="464"/>
      <c r="BN16" s="464"/>
      <c r="BO16" s="464"/>
      <c r="BP16" s="464"/>
      <c r="BQ16" s="464"/>
      <c r="BR16" s="464"/>
      <c r="BS16" s="464"/>
      <c r="BT16" s="464"/>
      <c r="BU16" s="464"/>
      <c r="BV16" s="464"/>
      <c r="BW16" s="464"/>
      <c r="BX16" s="464"/>
      <c r="BY16" s="464"/>
      <c r="BZ16" s="464"/>
      <c r="CA16" s="464"/>
      <c r="CB16" s="464"/>
      <c r="CC16" s="464"/>
      <c r="CD16" s="464"/>
      <c r="CE16" s="464"/>
      <c r="CF16" s="464"/>
      <c r="CG16" s="589"/>
      <c r="CH16" s="589"/>
      <c r="CI16" s="464"/>
      <c r="CJ16" s="464"/>
      <c r="CK16" s="464"/>
      <c r="CL16" s="464"/>
      <c r="CM16" s="464"/>
      <c r="CN16" s="464"/>
      <c r="CO16" s="464"/>
      <c r="CP16" s="464"/>
      <c r="CQ16" s="464"/>
      <c r="CR16" s="464"/>
      <c r="CS16" s="464"/>
      <c r="CT16" s="464"/>
      <c r="CU16" s="464"/>
      <c r="CV16" s="464"/>
      <c r="CW16" s="464"/>
      <c r="CX16" s="464"/>
      <c r="CY16" s="464"/>
      <c r="CZ16" s="464"/>
      <c r="DA16" s="464"/>
      <c r="DB16" s="464"/>
      <c r="DC16" s="464"/>
      <c r="DD16" s="464"/>
      <c r="DE16" s="464"/>
      <c r="DF16" s="464"/>
      <c r="DG16" s="464"/>
      <c r="DH16" s="589"/>
      <c r="DI16" s="589"/>
      <c r="DJ16" s="464"/>
      <c r="DK16" s="464"/>
      <c r="DL16" s="464"/>
      <c r="DM16" s="464"/>
      <c r="DN16" s="464"/>
      <c r="DO16" s="464"/>
      <c r="DP16" s="464"/>
      <c r="DQ16" s="464"/>
      <c r="DR16" s="464"/>
      <c r="DS16" s="464"/>
      <c r="DT16" s="464"/>
      <c r="DU16" s="464"/>
      <c r="DV16" s="464"/>
      <c r="DW16" s="464"/>
      <c r="DX16" s="464"/>
      <c r="DY16" s="464"/>
      <c r="DZ16" s="464"/>
      <c r="EA16" s="464"/>
      <c r="EB16" s="464"/>
      <c r="EC16" s="464"/>
      <c r="ED16" s="464"/>
      <c r="EE16" s="464"/>
      <c r="EF16" s="464"/>
      <c r="EG16" s="464"/>
      <c r="EH16" s="589"/>
      <c r="EI16" s="589"/>
      <c r="EJ16" s="464"/>
      <c r="EK16" s="464"/>
      <c r="EL16" s="464"/>
      <c r="EM16" s="464"/>
      <c r="EN16" s="464"/>
      <c r="EO16" s="464"/>
      <c r="EP16" s="464"/>
      <c r="EQ16" s="464"/>
      <c r="ER16" s="464"/>
      <c r="ES16" s="464"/>
      <c r="ET16" s="464"/>
      <c r="EU16" s="464"/>
      <c r="EV16" s="464"/>
      <c r="EW16" s="464"/>
      <c r="EX16" s="464"/>
      <c r="EY16" s="464"/>
      <c r="EZ16" s="464"/>
      <c r="FA16" s="464"/>
      <c r="FB16" s="464"/>
      <c r="FC16" s="464"/>
      <c r="FD16" s="464"/>
      <c r="FE16" s="464"/>
      <c r="FF16" s="464"/>
      <c r="FG16" s="301"/>
      <c r="FH16" s="301"/>
      <c r="FI16" s="589"/>
      <c r="FJ16" s="589"/>
      <c r="FK16" s="464"/>
      <c r="FL16" s="464"/>
      <c r="FM16" s="301"/>
      <c r="FN16" s="589"/>
    </row>
    <row r="17" spans="2:170" x14ac:dyDescent="0.25">
      <c r="B17" s="984"/>
      <c r="C17" s="551">
        <f>C16+1</f>
        <v>7</v>
      </c>
      <c r="D17" s="553" t="s">
        <v>228</v>
      </c>
      <c r="E17" s="464"/>
      <c r="F17" s="566"/>
      <c r="G17" s="112"/>
      <c r="H17" s="464"/>
      <c r="I17" s="464"/>
      <c r="J17" s="464"/>
      <c r="K17" s="568"/>
      <c r="L17" s="112"/>
      <c r="M17" s="464"/>
      <c r="N17" s="464"/>
      <c r="O17" s="464"/>
      <c r="P17" s="464"/>
      <c r="Q17" s="462"/>
      <c r="R17" s="462"/>
      <c r="S17" s="462"/>
      <c r="T17" s="462"/>
      <c r="U17" s="462"/>
      <c r="V17" s="462"/>
      <c r="W17" s="586"/>
      <c r="X17" s="462"/>
      <c r="Y17" s="462"/>
      <c r="Z17" s="462"/>
      <c r="AA17" s="462"/>
      <c r="AB17" s="462"/>
      <c r="AC17" s="462"/>
      <c r="AD17" s="462"/>
      <c r="AE17" s="462"/>
      <c r="AF17" s="462"/>
      <c r="AG17" s="462"/>
      <c r="AH17" s="462"/>
      <c r="AI17" s="462"/>
      <c r="AJ17" s="462"/>
      <c r="AK17" s="462"/>
      <c r="AL17" s="462"/>
      <c r="AM17" s="462"/>
      <c r="AN17" s="462"/>
      <c r="AO17" s="462"/>
      <c r="AP17" s="462"/>
      <c r="AQ17" s="462"/>
      <c r="AR17" s="462"/>
      <c r="AS17" s="462"/>
      <c r="AT17" s="462"/>
      <c r="AU17" s="462"/>
      <c r="AV17" s="461"/>
      <c r="AW17" s="462"/>
      <c r="AX17" s="462"/>
      <c r="AY17" s="462"/>
      <c r="AZ17" s="462"/>
      <c r="BA17" s="464"/>
      <c r="BB17" s="464"/>
      <c r="BC17" s="464"/>
      <c r="BD17" s="464"/>
      <c r="BE17" s="464"/>
      <c r="BF17" s="464"/>
      <c r="BG17" s="464"/>
      <c r="BH17" s="464"/>
      <c r="BI17" s="464"/>
      <c r="BJ17" s="464"/>
      <c r="BK17" s="464"/>
      <c r="BL17" s="464"/>
      <c r="BM17" s="464"/>
      <c r="BN17" s="464"/>
      <c r="BO17" s="464"/>
      <c r="BP17" s="464"/>
      <c r="BQ17" s="464"/>
      <c r="BR17" s="464"/>
      <c r="BS17" s="464"/>
      <c r="BT17" s="464"/>
      <c r="BU17" s="464"/>
      <c r="BV17" s="464"/>
      <c r="BW17" s="464"/>
      <c r="BX17" s="464"/>
      <c r="BY17" s="464"/>
      <c r="BZ17" s="464"/>
      <c r="CA17" s="464"/>
      <c r="CB17" s="464"/>
      <c r="CC17" s="464"/>
      <c r="CD17" s="464"/>
      <c r="CE17" s="464"/>
      <c r="CF17" s="464"/>
      <c r="CG17" s="464"/>
      <c r="CH17" s="464"/>
      <c r="CI17" s="464"/>
      <c r="CJ17" s="464"/>
      <c r="CK17" s="464"/>
      <c r="CL17" s="464"/>
      <c r="CM17" s="464"/>
      <c r="CN17" s="464"/>
      <c r="CO17" s="464"/>
      <c r="CP17" s="464"/>
      <c r="CQ17" s="464"/>
      <c r="CR17" s="464"/>
      <c r="CS17" s="464"/>
      <c r="CT17" s="464"/>
      <c r="CU17" s="464"/>
      <c r="CV17" s="464"/>
      <c r="CW17" s="464"/>
      <c r="CX17" s="464"/>
      <c r="CY17" s="464"/>
      <c r="CZ17" s="464"/>
      <c r="DA17" s="464"/>
      <c r="DB17" s="464"/>
      <c r="DC17" s="464"/>
      <c r="DD17" s="464"/>
      <c r="DE17" s="464"/>
      <c r="DF17" s="464"/>
      <c r="DG17" s="464"/>
      <c r="DH17" s="464"/>
      <c r="DI17" s="464"/>
      <c r="DJ17" s="464"/>
      <c r="DK17" s="464"/>
      <c r="DL17" s="464"/>
      <c r="DM17" s="464"/>
      <c r="DN17" s="464"/>
      <c r="DO17" s="464"/>
      <c r="DP17" s="464"/>
      <c r="DQ17" s="464"/>
      <c r="DR17" s="464"/>
      <c r="DS17" s="464"/>
      <c r="DT17" s="464"/>
      <c r="DU17" s="464"/>
      <c r="DV17" s="464"/>
      <c r="DW17" s="464"/>
      <c r="DX17" s="464"/>
      <c r="DY17" s="464"/>
      <c r="DZ17" s="464"/>
      <c r="EA17" s="464"/>
      <c r="EB17" s="464"/>
      <c r="EC17" s="464"/>
      <c r="ED17" s="464"/>
      <c r="EE17" s="464"/>
      <c r="EF17" s="464"/>
      <c r="EG17" s="464"/>
      <c r="EH17" s="464"/>
      <c r="EI17" s="464"/>
      <c r="EJ17" s="464"/>
      <c r="EK17" s="464"/>
      <c r="EL17" s="464"/>
      <c r="EM17" s="464"/>
      <c r="EN17" s="464"/>
      <c r="EO17" s="464"/>
      <c r="EP17" s="464"/>
      <c r="EQ17" s="464"/>
      <c r="ER17" s="464"/>
      <c r="ES17" s="464"/>
      <c r="ET17" s="464"/>
      <c r="EU17" s="464"/>
      <c r="EV17" s="464"/>
      <c r="EW17" s="464"/>
      <c r="EX17" s="464"/>
      <c r="EY17" s="464"/>
      <c r="EZ17" s="464"/>
      <c r="FA17" s="464"/>
      <c r="FB17" s="464"/>
      <c r="FC17" s="464"/>
      <c r="FD17" s="464"/>
      <c r="FE17" s="464"/>
      <c r="FF17" s="464"/>
      <c r="FG17" s="301"/>
      <c r="FH17" s="301"/>
      <c r="FI17" s="301"/>
      <c r="FJ17" s="301"/>
      <c r="FK17" s="301"/>
      <c r="FL17" s="301"/>
      <c r="FM17" s="301"/>
      <c r="FN17" s="301"/>
    </row>
    <row r="18" spans="2:170" x14ac:dyDescent="0.25">
      <c r="B18" s="984"/>
      <c r="C18" s="551">
        <f>C17+1</f>
        <v>8</v>
      </c>
      <c r="D18" s="553" t="s">
        <v>379</v>
      </c>
      <c r="E18" s="464"/>
      <c r="F18" s="464"/>
      <c r="G18" s="566"/>
      <c r="H18" s="464"/>
      <c r="I18" s="464"/>
      <c r="J18" s="464"/>
      <c r="K18" s="464"/>
      <c r="L18" s="464"/>
      <c r="M18" s="464"/>
      <c r="N18" s="568"/>
      <c r="O18" s="462"/>
      <c r="P18" s="464"/>
      <c r="Q18" s="464"/>
      <c r="R18" s="464"/>
      <c r="S18" s="464"/>
      <c r="T18" s="464"/>
      <c r="U18" s="464"/>
      <c r="V18" s="462"/>
      <c r="W18" s="464"/>
      <c r="X18" s="586"/>
      <c r="Y18" s="464"/>
      <c r="Z18" s="464"/>
      <c r="AA18" s="464"/>
      <c r="AB18" s="464"/>
      <c r="AC18" s="464"/>
      <c r="AD18" s="464"/>
      <c r="AE18" s="464"/>
      <c r="AF18" s="464"/>
      <c r="AG18" s="464"/>
      <c r="AH18" s="464"/>
      <c r="AI18" s="464"/>
      <c r="AJ18" s="464"/>
      <c r="AK18" s="464"/>
      <c r="AL18" s="464"/>
      <c r="AM18" s="464"/>
      <c r="AN18" s="464"/>
      <c r="AO18" s="464"/>
      <c r="AP18" s="464"/>
      <c r="AQ18" s="464"/>
      <c r="AR18" s="464"/>
      <c r="AS18" s="464"/>
      <c r="AT18" s="464"/>
      <c r="AU18" s="464"/>
      <c r="AV18" s="463"/>
      <c r="AW18" s="464"/>
      <c r="AX18" s="464"/>
      <c r="AY18" s="464"/>
      <c r="AZ18" s="464"/>
      <c r="BA18" s="464"/>
      <c r="BB18" s="464"/>
      <c r="BC18" s="464"/>
      <c r="BD18" s="464"/>
      <c r="BE18" s="464"/>
      <c r="BF18" s="464"/>
      <c r="BG18" s="464"/>
      <c r="BH18" s="464"/>
      <c r="BI18" s="464"/>
      <c r="BJ18" s="464"/>
      <c r="BK18" s="464"/>
      <c r="BL18" s="464"/>
      <c r="BM18" s="464"/>
      <c r="BN18" s="464"/>
      <c r="BO18" s="464"/>
      <c r="BP18" s="464"/>
      <c r="BQ18" s="464"/>
      <c r="BR18" s="464"/>
      <c r="BS18" s="464"/>
      <c r="BT18" s="464"/>
      <c r="BU18" s="464"/>
      <c r="BV18" s="464"/>
      <c r="BW18" s="464"/>
      <c r="BX18" s="464"/>
      <c r="BY18" s="464"/>
      <c r="BZ18" s="464"/>
      <c r="CA18" s="464"/>
      <c r="CB18" s="464"/>
      <c r="CC18" s="464"/>
      <c r="CD18" s="464"/>
      <c r="CE18" s="464"/>
      <c r="CF18" s="464"/>
      <c r="CG18" s="464"/>
      <c r="CH18" s="464"/>
      <c r="CI18" s="464"/>
      <c r="CJ18" s="464"/>
      <c r="CK18" s="464"/>
      <c r="CL18" s="464"/>
      <c r="CM18" s="464"/>
      <c r="CN18" s="464"/>
      <c r="CO18" s="464"/>
      <c r="CP18" s="464"/>
      <c r="CQ18" s="464"/>
      <c r="CR18" s="464"/>
      <c r="CS18" s="464"/>
      <c r="CT18" s="464"/>
      <c r="CU18" s="464"/>
      <c r="CV18" s="464"/>
      <c r="CW18" s="464"/>
      <c r="CX18" s="464"/>
      <c r="CY18" s="464"/>
      <c r="CZ18" s="464"/>
      <c r="DA18" s="464"/>
      <c r="DB18" s="464"/>
      <c r="DC18" s="464"/>
      <c r="DD18" s="464"/>
      <c r="DE18" s="464"/>
      <c r="DF18" s="464"/>
      <c r="DG18" s="464"/>
      <c r="DH18" s="464"/>
      <c r="DI18" s="464"/>
      <c r="DJ18" s="464"/>
      <c r="DK18" s="464"/>
      <c r="DL18" s="464"/>
      <c r="DM18" s="464"/>
      <c r="DN18" s="464"/>
      <c r="DO18" s="464"/>
      <c r="DP18" s="464"/>
      <c r="DQ18" s="464"/>
      <c r="DR18" s="464"/>
      <c r="DS18" s="464"/>
      <c r="DT18" s="464"/>
      <c r="DU18" s="464"/>
      <c r="DV18" s="464"/>
      <c r="DW18" s="464"/>
      <c r="DX18" s="464"/>
      <c r="DY18" s="464"/>
      <c r="DZ18" s="464"/>
      <c r="EA18" s="464"/>
      <c r="EB18" s="464"/>
      <c r="EC18" s="464"/>
      <c r="ED18" s="464"/>
      <c r="EE18" s="464"/>
      <c r="EF18" s="464"/>
      <c r="EG18" s="464"/>
      <c r="EH18" s="464"/>
      <c r="EI18" s="464"/>
      <c r="EJ18" s="464"/>
      <c r="EK18" s="464"/>
      <c r="EL18" s="464"/>
      <c r="EM18" s="464"/>
      <c r="EN18" s="464"/>
      <c r="EO18" s="464"/>
      <c r="EP18" s="464"/>
      <c r="EQ18" s="464"/>
      <c r="ER18" s="464"/>
      <c r="ES18" s="464"/>
      <c r="ET18" s="464"/>
      <c r="EU18" s="464"/>
      <c r="EV18" s="464"/>
      <c r="EW18" s="464"/>
      <c r="EX18" s="464"/>
      <c r="EY18" s="464"/>
      <c r="EZ18" s="464"/>
      <c r="FA18" s="464"/>
      <c r="FB18" s="464"/>
      <c r="FC18" s="464"/>
      <c r="FD18" s="464"/>
      <c r="FE18" s="464"/>
      <c r="FF18" s="464"/>
      <c r="FG18" s="301"/>
      <c r="FH18" s="301"/>
      <c r="FI18" s="301"/>
      <c r="FJ18" s="301"/>
      <c r="FK18" s="301"/>
      <c r="FL18" s="301"/>
      <c r="FM18" s="301"/>
      <c r="FN18" s="301"/>
    </row>
    <row r="19" spans="2:170" x14ac:dyDescent="0.25">
      <c r="B19" s="984"/>
      <c r="C19" s="551">
        <f>C18+1</f>
        <v>9</v>
      </c>
      <c r="D19" s="553" t="s">
        <v>378</v>
      </c>
      <c r="E19" s="464"/>
      <c r="F19" s="464"/>
      <c r="G19" s="464"/>
      <c r="H19" s="464"/>
      <c r="I19" s="566"/>
      <c r="J19" s="464"/>
      <c r="K19" s="464"/>
      <c r="L19" s="464"/>
      <c r="M19" s="464"/>
      <c r="N19" s="566"/>
      <c r="O19" s="69"/>
      <c r="P19" s="464"/>
      <c r="Q19" s="464"/>
      <c r="R19" s="566"/>
      <c r="S19" s="566"/>
      <c r="T19" s="566"/>
      <c r="U19" s="566"/>
      <c r="V19" s="740"/>
      <c r="W19" s="464"/>
      <c r="X19" s="464"/>
      <c r="Y19" s="586"/>
      <c r="Z19" s="586"/>
      <c r="AA19" s="464"/>
      <c r="AB19" s="464"/>
      <c r="AC19" s="464"/>
      <c r="AD19" s="464"/>
      <c r="AE19" s="464"/>
      <c r="AF19" s="464"/>
      <c r="AG19" s="464"/>
      <c r="AH19" s="464"/>
      <c r="AI19" s="464"/>
      <c r="AJ19" s="464"/>
      <c r="AK19" s="464"/>
      <c r="AL19" s="464"/>
      <c r="AM19" s="464"/>
      <c r="AN19" s="464"/>
      <c r="AO19" s="464"/>
      <c r="AP19" s="464"/>
      <c r="AQ19" s="464"/>
      <c r="AR19" s="464"/>
      <c r="AS19" s="464"/>
      <c r="AT19" s="464"/>
      <c r="AU19" s="464"/>
      <c r="AV19" s="463"/>
      <c r="AW19" s="464"/>
      <c r="AX19" s="464"/>
      <c r="AY19" s="464"/>
      <c r="AZ19" s="464"/>
      <c r="BA19" s="464"/>
      <c r="BB19" s="464"/>
      <c r="BC19" s="464"/>
      <c r="BD19" s="464"/>
      <c r="BE19" s="464"/>
      <c r="BF19" s="464"/>
      <c r="BG19" s="464"/>
      <c r="BH19" s="464"/>
      <c r="BI19" s="464"/>
      <c r="BJ19" s="464"/>
      <c r="BK19" s="464"/>
      <c r="BL19" s="464"/>
      <c r="BM19" s="464"/>
      <c r="BN19" s="464"/>
      <c r="BO19" s="464"/>
      <c r="BP19" s="464"/>
      <c r="BQ19" s="464"/>
      <c r="BR19" s="464"/>
      <c r="BS19" s="464"/>
      <c r="BT19" s="464"/>
      <c r="BU19" s="464"/>
      <c r="BV19" s="464"/>
      <c r="BW19" s="464"/>
      <c r="BX19" s="464"/>
      <c r="BY19" s="464"/>
      <c r="BZ19" s="464"/>
      <c r="CA19" s="464"/>
      <c r="CB19" s="464"/>
      <c r="CC19" s="464"/>
      <c r="CD19" s="464"/>
      <c r="CE19" s="464"/>
      <c r="CF19" s="464"/>
      <c r="CG19" s="464"/>
      <c r="CH19" s="464"/>
      <c r="CI19" s="464"/>
      <c r="CJ19" s="464"/>
      <c r="CK19" s="464"/>
      <c r="CL19" s="464"/>
      <c r="CM19" s="464"/>
      <c r="CN19" s="464"/>
      <c r="CO19" s="464"/>
      <c r="CP19" s="464"/>
      <c r="CQ19" s="464"/>
      <c r="CR19" s="464"/>
      <c r="CS19" s="464"/>
      <c r="CT19" s="464"/>
      <c r="CU19" s="464"/>
      <c r="CV19" s="464"/>
      <c r="CW19" s="464"/>
      <c r="CX19" s="464"/>
      <c r="CY19" s="464"/>
      <c r="CZ19" s="464"/>
      <c r="DA19" s="464"/>
      <c r="DB19" s="464"/>
      <c r="DC19" s="464"/>
      <c r="DD19" s="464"/>
      <c r="DE19" s="464"/>
      <c r="DF19" s="464"/>
      <c r="DG19" s="464"/>
      <c r="DH19" s="464"/>
      <c r="DI19" s="464"/>
      <c r="DJ19" s="464"/>
      <c r="DK19" s="464"/>
      <c r="DL19" s="464"/>
      <c r="DM19" s="464"/>
      <c r="DN19" s="464"/>
      <c r="DO19" s="464"/>
      <c r="DP19" s="464"/>
      <c r="DQ19" s="464"/>
      <c r="DR19" s="464"/>
      <c r="DS19" s="464"/>
      <c r="DT19" s="464"/>
      <c r="DU19" s="464"/>
      <c r="DV19" s="464"/>
      <c r="DW19" s="464"/>
      <c r="DX19" s="464"/>
      <c r="DY19" s="464"/>
      <c r="DZ19" s="464"/>
      <c r="EA19" s="464"/>
      <c r="EB19" s="464"/>
      <c r="EC19" s="464"/>
      <c r="ED19" s="464"/>
      <c r="EE19" s="464"/>
      <c r="EF19" s="464"/>
      <c r="EG19" s="464"/>
      <c r="EH19" s="464"/>
      <c r="EI19" s="464"/>
      <c r="EJ19" s="464"/>
      <c r="EK19" s="464"/>
      <c r="EL19" s="464"/>
      <c r="EM19" s="464"/>
      <c r="EN19" s="464"/>
      <c r="EO19" s="464"/>
      <c r="EP19" s="464"/>
      <c r="EQ19" s="464"/>
      <c r="ER19" s="464"/>
      <c r="ES19" s="464"/>
      <c r="ET19" s="464"/>
      <c r="EU19" s="464"/>
      <c r="EV19" s="464"/>
      <c r="EW19" s="464"/>
      <c r="EX19" s="464"/>
      <c r="EY19" s="464"/>
      <c r="EZ19" s="464"/>
      <c r="FA19" s="464"/>
      <c r="FB19" s="464"/>
      <c r="FC19" s="464"/>
      <c r="FD19" s="464"/>
      <c r="FE19" s="464"/>
      <c r="FF19" s="464"/>
      <c r="FG19" s="301"/>
      <c r="FH19" s="301"/>
      <c r="FI19" s="301"/>
      <c r="FJ19" s="301"/>
      <c r="FK19" s="301"/>
      <c r="FL19" s="301"/>
      <c r="FM19" s="301"/>
      <c r="FN19" s="301"/>
    </row>
    <row r="20" spans="2:170" x14ac:dyDescent="0.25">
      <c r="B20" s="984"/>
      <c r="C20" s="551">
        <f>C19+1</f>
        <v>10</v>
      </c>
      <c r="D20" s="553" t="s">
        <v>380</v>
      </c>
      <c r="E20" s="464"/>
      <c r="F20" s="464"/>
      <c r="G20" s="464"/>
      <c r="H20" s="464"/>
      <c r="I20" s="464"/>
      <c r="J20" s="464"/>
      <c r="K20" s="566"/>
      <c r="L20" s="464"/>
      <c r="M20" s="464"/>
      <c r="N20" s="464"/>
      <c r="O20" s="112"/>
      <c r="P20" s="464"/>
      <c r="Q20" s="568"/>
      <c r="R20" s="464"/>
      <c r="S20" s="464"/>
      <c r="T20" s="464"/>
      <c r="U20" s="464"/>
      <c r="V20" s="464"/>
      <c r="W20" s="586"/>
      <c r="X20" s="586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  <c r="AI20" s="464"/>
      <c r="AJ20" s="464"/>
      <c r="AK20" s="464"/>
      <c r="AL20" s="464"/>
      <c r="AM20" s="464"/>
      <c r="AN20" s="464"/>
      <c r="AO20" s="464"/>
      <c r="AP20" s="464"/>
      <c r="AQ20" s="464"/>
      <c r="AR20" s="464"/>
      <c r="AS20" s="464"/>
      <c r="AT20" s="464"/>
      <c r="AU20" s="464"/>
      <c r="AV20" s="463"/>
      <c r="AW20" s="464"/>
      <c r="AX20" s="464"/>
      <c r="AY20" s="464"/>
      <c r="AZ20" s="464"/>
      <c r="BA20" s="464"/>
      <c r="BB20" s="464"/>
      <c r="BC20" s="464"/>
      <c r="BD20" s="464"/>
      <c r="BE20" s="464"/>
      <c r="BF20" s="464"/>
      <c r="BG20" s="464"/>
      <c r="BH20" s="464"/>
      <c r="BI20" s="464"/>
      <c r="BJ20" s="464"/>
      <c r="BK20" s="464"/>
      <c r="BL20" s="464"/>
      <c r="BM20" s="464"/>
      <c r="BN20" s="464"/>
      <c r="BO20" s="464"/>
      <c r="BP20" s="464"/>
      <c r="BQ20" s="464"/>
      <c r="BR20" s="464"/>
      <c r="BS20" s="464"/>
      <c r="BT20" s="464"/>
      <c r="BU20" s="464"/>
      <c r="BV20" s="464"/>
      <c r="BW20" s="464"/>
      <c r="BX20" s="464"/>
      <c r="BY20" s="464"/>
      <c r="BZ20" s="464"/>
      <c r="CA20" s="464"/>
      <c r="CB20" s="464"/>
      <c r="CC20" s="464"/>
      <c r="CD20" s="464"/>
      <c r="CE20" s="464"/>
      <c r="CF20" s="464"/>
      <c r="CG20" s="464"/>
      <c r="CH20" s="464"/>
      <c r="CI20" s="464"/>
      <c r="CJ20" s="464"/>
      <c r="CK20" s="464"/>
      <c r="CL20" s="464"/>
      <c r="CM20" s="464"/>
      <c r="CN20" s="464"/>
      <c r="CO20" s="464"/>
      <c r="CP20" s="464"/>
      <c r="CQ20" s="464"/>
      <c r="CR20" s="464"/>
      <c r="CS20" s="464"/>
      <c r="CT20" s="464"/>
      <c r="CU20" s="464"/>
      <c r="CV20" s="464"/>
      <c r="CW20" s="464"/>
      <c r="CX20" s="464"/>
      <c r="CY20" s="464"/>
      <c r="CZ20" s="464"/>
      <c r="DA20" s="464"/>
      <c r="DB20" s="464"/>
      <c r="DC20" s="464"/>
      <c r="DD20" s="464"/>
      <c r="DE20" s="464"/>
      <c r="DF20" s="464"/>
      <c r="DG20" s="464"/>
      <c r="DH20" s="464"/>
      <c r="DI20" s="464"/>
      <c r="DJ20" s="464"/>
      <c r="DK20" s="464"/>
      <c r="DL20" s="464"/>
      <c r="DM20" s="464"/>
      <c r="DN20" s="464"/>
      <c r="DO20" s="464"/>
      <c r="DP20" s="464"/>
      <c r="DQ20" s="464"/>
      <c r="DR20" s="464"/>
      <c r="DS20" s="464"/>
      <c r="DT20" s="464"/>
      <c r="DU20" s="464"/>
      <c r="DV20" s="464"/>
      <c r="DW20" s="464"/>
      <c r="DX20" s="464"/>
      <c r="DY20" s="464"/>
      <c r="DZ20" s="464"/>
      <c r="EA20" s="464"/>
      <c r="EB20" s="464"/>
      <c r="EC20" s="464"/>
      <c r="ED20" s="464"/>
      <c r="EE20" s="464"/>
      <c r="EF20" s="464"/>
      <c r="EG20" s="464"/>
      <c r="EH20" s="464"/>
      <c r="EI20" s="464"/>
      <c r="EJ20" s="464"/>
      <c r="EK20" s="464"/>
      <c r="EL20" s="464"/>
      <c r="EM20" s="464"/>
      <c r="EN20" s="464"/>
      <c r="EO20" s="464"/>
      <c r="EP20" s="464"/>
      <c r="EQ20" s="464"/>
      <c r="ER20" s="464"/>
      <c r="ES20" s="464"/>
      <c r="ET20" s="464"/>
      <c r="EU20" s="464"/>
      <c r="EV20" s="464"/>
      <c r="EW20" s="464"/>
      <c r="EX20" s="464"/>
      <c r="EY20" s="464"/>
      <c r="EZ20" s="464"/>
      <c r="FA20" s="464"/>
      <c r="FB20" s="464"/>
      <c r="FC20" s="464"/>
      <c r="FD20" s="464"/>
      <c r="FE20" s="464"/>
      <c r="FF20" s="464"/>
      <c r="FG20" s="301"/>
      <c r="FH20" s="301"/>
      <c r="FI20" s="301"/>
      <c r="FJ20" s="301"/>
      <c r="FK20" s="301"/>
      <c r="FL20" s="301"/>
      <c r="FM20" s="301"/>
      <c r="FN20" s="301"/>
    </row>
    <row r="21" spans="2:170" x14ac:dyDescent="0.25">
      <c r="B21" s="984"/>
      <c r="C21" s="551">
        <f t="shared" ref="C21:C27" si="36">C20+1</f>
        <v>11</v>
      </c>
      <c r="D21" s="553" t="s">
        <v>196</v>
      </c>
      <c r="E21" s="464"/>
      <c r="F21" s="464"/>
      <c r="G21" s="464"/>
      <c r="H21" s="464"/>
      <c r="I21" s="464"/>
      <c r="J21" s="464"/>
      <c r="K21" s="464"/>
      <c r="L21" s="464"/>
      <c r="M21" s="464"/>
      <c r="N21" s="566"/>
      <c r="O21" s="464"/>
      <c r="P21" s="464"/>
      <c r="Q21" s="464"/>
      <c r="R21" s="568"/>
      <c r="S21" s="464"/>
      <c r="T21" s="464"/>
      <c r="U21" s="464"/>
      <c r="V21" s="464"/>
      <c r="W21" s="464"/>
      <c r="X21" s="464"/>
      <c r="Y21" s="464"/>
      <c r="Z21" s="464"/>
      <c r="AA21" s="464"/>
      <c r="AB21" s="586"/>
      <c r="AC21" s="464"/>
      <c r="AD21" s="464"/>
      <c r="AE21" s="464"/>
      <c r="AF21" s="464"/>
      <c r="AG21" s="464"/>
      <c r="AH21" s="464"/>
      <c r="AI21" s="464"/>
      <c r="AJ21" s="464"/>
      <c r="AK21" s="464"/>
      <c r="AL21" s="464"/>
      <c r="AM21" s="464"/>
      <c r="AN21" s="464"/>
      <c r="AO21" s="464"/>
      <c r="AP21" s="464"/>
      <c r="AQ21" s="464"/>
      <c r="AR21" s="464"/>
      <c r="AS21" s="464"/>
      <c r="AT21" s="464"/>
      <c r="AU21" s="464"/>
      <c r="AV21" s="463"/>
      <c r="AW21" s="464"/>
      <c r="AX21" s="464"/>
      <c r="AY21" s="464"/>
      <c r="AZ21" s="464"/>
      <c r="BA21" s="464"/>
      <c r="BB21" s="464"/>
      <c r="BC21" s="464"/>
      <c r="BD21" s="464"/>
      <c r="BE21" s="464"/>
      <c r="BF21" s="464"/>
      <c r="BG21" s="464"/>
      <c r="BH21" s="464"/>
      <c r="BI21" s="464"/>
      <c r="BJ21" s="464"/>
      <c r="BK21" s="464"/>
      <c r="BL21" s="464"/>
      <c r="BM21" s="464"/>
      <c r="BN21" s="464"/>
      <c r="BO21" s="464"/>
      <c r="BP21" s="464"/>
      <c r="BQ21" s="464"/>
      <c r="BR21" s="464"/>
      <c r="BS21" s="464"/>
      <c r="BT21" s="464"/>
      <c r="BU21" s="464"/>
      <c r="BV21" s="464"/>
      <c r="BW21" s="464"/>
      <c r="BX21" s="464"/>
      <c r="BY21" s="464"/>
      <c r="BZ21" s="464"/>
      <c r="CA21" s="464"/>
      <c r="CB21" s="464"/>
      <c r="CC21" s="464"/>
      <c r="CD21" s="464"/>
      <c r="CE21" s="464"/>
      <c r="CF21" s="464"/>
      <c r="CG21" s="464"/>
      <c r="CH21" s="464"/>
      <c r="CI21" s="464"/>
      <c r="CJ21" s="464"/>
      <c r="CK21" s="464"/>
      <c r="CL21" s="464"/>
      <c r="CM21" s="464"/>
      <c r="CN21" s="464"/>
      <c r="CO21" s="464"/>
      <c r="CP21" s="464"/>
      <c r="CQ21" s="464"/>
      <c r="CR21" s="464"/>
      <c r="CS21" s="464"/>
      <c r="CT21" s="464"/>
      <c r="CU21" s="464"/>
      <c r="CV21" s="464"/>
      <c r="CW21" s="464"/>
      <c r="CX21" s="464"/>
      <c r="CY21" s="464"/>
      <c r="CZ21" s="464"/>
      <c r="DA21" s="464"/>
      <c r="DB21" s="464"/>
      <c r="DC21" s="464"/>
      <c r="DD21" s="464"/>
      <c r="DE21" s="464"/>
      <c r="DF21" s="464"/>
      <c r="DG21" s="464"/>
      <c r="DH21" s="464"/>
      <c r="DI21" s="464"/>
      <c r="DJ21" s="464"/>
      <c r="DK21" s="464"/>
      <c r="DL21" s="464"/>
      <c r="DM21" s="464"/>
      <c r="DN21" s="464"/>
      <c r="DO21" s="464"/>
      <c r="DP21" s="464"/>
      <c r="DQ21" s="464"/>
      <c r="DR21" s="464"/>
      <c r="DS21" s="464"/>
      <c r="DT21" s="464"/>
      <c r="DU21" s="464"/>
      <c r="DV21" s="464"/>
      <c r="DW21" s="464"/>
      <c r="DX21" s="464"/>
      <c r="DY21" s="464"/>
      <c r="DZ21" s="464"/>
      <c r="EA21" s="464"/>
      <c r="EB21" s="464"/>
      <c r="EC21" s="464"/>
      <c r="ED21" s="464"/>
      <c r="EE21" s="464"/>
      <c r="EF21" s="464"/>
      <c r="EG21" s="464"/>
      <c r="EH21" s="464"/>
      <c r="EI21" s="464"/>
      <c r="EJ21" s="464"/>
      <c r="EK21" s="464"/>
      <c r="EL21" s="464"/>
      <c r="EM21" s="464"/>
      <c r="EN21" s="464"/>
      <c r="EO21" s="464"/>
      <c r="EP21" s="464"/>
      <c r="EQ21" s="464"/>
      <c r="ER21" s="464"/>
      <c r="ES21" s="464"/>
      <c r="ET21" s="464"/>
      <c r="EU21" s="464"/>
      <c r="EV21" s="464"/>
      <c r="EW21" s="464"/>
      <c r="EX21" s="464"/>
      <c r="EY21" s="464"/>
      <c r="EZ21" s="464"/>
      <c r="FA21" s="464"/>
      <c r="FB21" s="464"/>
      <c r="FC21" s="464"/>
      <c r="FD21" s="464"/>
      <c r="FE21" s="464"/>
      <c r="FF21" s="464"/>
      <c r="FG21" s="301"/>
      <c r="FH21" s="301"/>
      <c r="FI21" s="301"/>
      <c r="FJ21" s="301"/>
      <c r="FK21" s="301"/>
      <c r="FL21" s="301"/>
      <c r="FM21" s="301"/>
      <c r="FN21" s="301"/>
    </row>
    <row r="22" spans="2:170" x14ac:dyDescent="0.25">
      <c r="B22" s="984"/>
      <c r="C22" s="551">
        <f t="shared" si="36"/>
        <v>12</v>
      </c>
      <c r="D22" s="553" t="s">
        <v>197</v>
      </c>
      <c r="E22" s="464"/>
      <c r="F22" s="464"/>
      <c r="G22" s="464"/>
      <c r="H22" s="464"/>
      <c r="I22" s="464"/>
      <c r="J22" s="464"/>
      <c r="K22" s="464"/>
      <c r="L22" s="464"/>
      <c r="M22" s="464"/>
      <c r="N22" s="566"/>
      <c r="O22" s="464"/>
      <c r="P22" s="464"/>
      <c r="Q22" s="464"/>
      <c r="R22" s="464"/>
      <c r="S22" s="568"/>
      <c r="T22" s="464"/>
      <c r="U22" s="464"/>
      <c r="V22" s="464"/>
      <c r="W22" s="464"/>
      <c r="X22" s="464"/>
      <c r="Y22" s="464"/>
      <c r="Z22" s="464"/>
      <c r="AA22" s="464"/>
      <c r="AB22" s="586"/>
      <c r="AC22" s="464"/>
      <c r="AD22" s="464"/>
      <c r="AE22" s="464"/>
      <c r="AF22" s="464"/>
      <c r="AG22" s="464"/>
      <c r="AH22" s="464"/>
      <c r="AI22" s="464"/>
      <c r="AJ22" s="464"/>
      <c r="AK22" s="464"/>
      <c r="AL22" s="464"/>
      <c r="AM22" s="464"/>
      <c r="AN22" s="464"/>
      <c r="AO22" s="464"/>
      <c r="AP22" s="464"/>
      <c r="AQ22" s="464"/>
      <c r="AR22" s="464"/>
      <c r="AS22" s="464"/>
      <c r="AT22" s="464"/>
      <c r="AU22" s="464"/>
      <c r="AV22" s="463"/>
      <c r="AW22" s="464"/>
      <c r="AX22" s="464"/>
      <c r="AY22" s="464"/>
      <c r="AZ22" s="464"/>
      <c r="BA22" s="464"/>
      <c r="BB22" s="464"/>
      <c r="BC22" s="464"/>
      <c r="BD22" s="464"/>
      <c r="BE22" s="464"/>
      <c r="BF22" s="464"/>
      <c r="BG22" s="464"/>
      <c r="BH22" s="464"/>
      <c r="BI22" s="464"/>
      <c r="BJ22" s="464"/>
      <c r="BK22" s="464"/>
      <c r="BL22" s="464"/>
      <c r="BM22" s="464"/>
      <c r="BN22" s="464"/>
      <c r="BO22" s="464"/>
      <c r="BP22" s="464"/>
      <c r="BQ22" s="464"/>
      <c r="BR22" s="464"/>
      <c r="BS22" s="464"/>
      <c r="BT22" s="464"/>
      <c r="BU22" s="464"/>
      <c r="BV22" s="464"/>
      <c r="BW22" s="464"/>
      <c r="BX22" s="464"/>
      <c r="BY22" s="464"/>
      <c r="BZ22" s="464"/>
      <c r="CA22" s="464"/>
      <c r="CB22" s="464"/>
      <c r="CC22" s="464"/>
      <c r="CD22" s="464"/>
      <c r="CE22" s="464"/>
      <c r="CF22" s="464"/>
      <c r="CG22" s="464"/>
      <c r="CH22" s="464"/>
      <c r="CI22" s="464"/>
      <c r="CJ22" s="464"/>
      <c r="CK22" s="464"/>
      <c r="CL22" s="464"/>
      <c r="CM22" s="464"/>
      <c r="CN22" s="464"/>
      <c r="CO22" s="464"/>
      <c r="CP22" s="464"/>
      <c r="CQ22" s="464"/>
      <c r="CR22" s="464"/>
      <c r="CS22" s="464"/>
      <c r="CT22" s="464"/>
      <c r="CU22" s="464"/>
      <c r="CV22" s="464"/>
      <c r="CW22" s="464"/>
      <c r="CX22" s="464"/>
      <c r="CY22" s="464"/>
      <c r="CZ22" s="464"/>
      <c r="DA22" s="464"/>
      <c r="DB22" s="464"/>
      <c r="DC22" s="464"/>
      <c r="DD22" s="464"/>
      <c r="DE22" s="464"/>
      <c r="DF22" s="464"/>
      <c r="DG22" s="464"/>
      <c r="DH22" s="464"/>
      <c r="DI22" s="464"/>
      <c r="DJ22" s="464"/>
      <c r="DK22" s="464"/>
      <c r="DL22" s="464"/>
      <c r="DM22" s="464"/>
      <c r="DN22" s="464"/>
      <c r="DO22" s="464"/>
      <c r="DP22" s="464"/>
      <c r="DQ22" s="464"/>
      <c r="DR22" s="464"/>
      <c r="DS22" s="464"/>
      <c r="DT22" s="464"/>
      <c r="DU22" s="464"/>
      <c r="DV22" s="464"/>
      <c r="DW22" s="464"/>
      <c r="DX22" s="464"/>
      <c r="DY22" s="464"/>
      <c r="DZ22" s="464"/>
      <c r="EA22" s="464"/>
      <c r="EB22" s="464"/>
      <c r="EC22" s="464"/>
      <c r="ED22" s="464"/>
      <c r="EE22" s="464"/>
      <c r="EF22" s="464"/>
      <c r="EG22" s="464"/>
      <c r="EH22" s="464"/>
      <c r="EI22" s="464"/>
      <c r="EJ22" s="464"/>
      <c r="EK22" s="464"/>
      <c r="EL22" s="464"/>
      <c r="EM22" s="464"/>
      <c r="EN22" s="464"/>
      <c r="EO22" s="464"/>
      <c r="EP22" s="464"/>
      <c r="EQ22" s="464"/>
      <c r="ER22" s="464"/>
      <c r="ES22" s="464"/>
      <c r="ET22" s="464"/>
      <c r="EU22" s="464"/>
      <c r="EV22" s="464"/>
      <c r="EW22" s="464"/>
      <c r="EX22" s="464"/>
      <c r="EY22" s="464"/>
      <c r="EZ22" s="464"/>
      <c r="FA22" s="464"/>
      <c r="FB22" s="464"/>
      <c r="FC22" s="464"/>
      <c r="FD22" s="464"/>
      <c r="FE22" s="464"/>
      <c r="FF22" s="464"/>
      <c r="FG22" s="301"/>
      <c r="FH22" s="301"/>
      <c r="FI22" s="301"/>
      <c r="FJ22" s="301"/>
      <c r="FK22" s="301"/>
      <c r="FL22" s="301"/>
      <c r="FM22" s="301"/>
      <c r="FN22" s="301"/>
    </row>
    <row r="23" spans="2:170" x14ac:dyDescent="0.25">
      <c r="B23" s="984"/>
      <c r="C23" s="551">
        <f t="shared" si="36"/>
        <v>13</v>
      </c>
      <c r="D23" s="553" t="s">
        <v>381</v>
      </c>
      <c r="E23" s="464"/>
      <c r="F23" s="464"/>
      <c r="G23" s="566"/>
      <c r="H23" s="566"/>
      <c r="I23" s="566"/>
      <c r="J23" s="566"/>
      <c r="K23" s="566"/>
      <c r="L23" s="566"/>
      <c r="M23" s="566"/>
      <c r="N23" s="566"/>
      <c r="O23" s="566"/>
      <c r="P23" s="566"/>
      <c r="Q23" s="566"/>
      <c r="R23" s="566"/>
      <c r="S23" s="566"/>
      <c r="T23" s="568"/>
      <c r="U23" s="568"/>
      <c r="V23" s="568"/>
      <c r="W23" s="568"/>
      <c r="X23" s="568"/>
      <c r="Y23" s="568"/>
      <c r="Z23" s="568"/>
      <c r="AA23" s="586"/>
      <c r="AB23" s="586"/>
      <c r="AC23" s="586"/>
      <c r="AD23" s="586"/>
      <c r="AE23" s="586"/>
      <c r="AF23" s="464"/>
      <c r="AG23" s="464"/>
      <c r="AH23" s="464"/>
      <c r="AI23" s="464"/>
      <c r="AJ23" s="464"/>
      <c r="AK23" s="464"/>
      <c r="AL23" s="464"/>
      <c r="AM23" s="464"/>
      <c r="AN23" s="464"/>
      <c r="AO23" s="464"/>
      <c r="AP23" s="464"/>
      <c r="AQ23" s="464"/>
      <c r="AR23" s="464"/>
      <c r="AS23" s="464"/>
      <c r="AT23" s="464"/>
      <c r="AU23" s="464"/>
      <c r="AV23" s="463"/>
      <c r="AW23" s="464"/>
      <c r="AX23" s="464"/>
      <c r="AY23" s="464"/>
      <c r="AZ23" s="464"/>
      <c r="BA23" s="464"/>
      <c r="BB23" s="464"/>
      <c r="BC23" s="464"/>
      <c r="BD23" s="464"/>
      <c r="BE23" s="464"/>
      <c r="BF23" s="464"/>
      <c r="BG23" s="464"/>
      <c r="BH23" s="464"/>
      <c r="BI23" s="464"/>
      <c r="BJ23" s="464"/>
      <c r="BK23" s="464"/>
      <c r="BL23" s="464"/>
      <c r="BM23" s="464"/>
      <c r="BN23" s="464"/>
      <c r="BO23" s="464"/>
      <c r="BP23" s="464"/>
      <c r="BQ23" s="464"/>
      <c r="BR23" s="464"/>
      <c r="BS23" s="464"/>
      <c r="BT23" s="464"/>
      <c r="BU23" s="464"/>
      <c r="BV23" s="464"/>
      <c r="BW23" s="464"/>
      <c r="BX23" s="464"/>
      <c r="BY23" s="464"/>
      <c r="BZ23" s="464"/>
      <c r="CA23" s="464"/>
      <c r="CB23" s="464"/>
      <c r="CC23" s="464"/>
      <c r="CD23" s="464"/>
      <c r="CE23" s="464"/>
      <c r="CF23" s="464"/>
      <c r="CG23" s="464"/>
      <c r="CH23" s="464"/>
      <c r="CI23" s="464"/>
      <c r="CJ23" s="464"/>
      <c r="CK23" s="464"/>
      <c r="CL23" s="464"/>
      <c r="CM23" s="464"/>
      <c r="CN23" s="464"/>
      <c r="CO23" s="464"/>
      <c r="CP23" s="464"/>
      <c r="CQ23" s="464"/>
      <c r="CR23" s="464"/>
      <c r="CS23" s="464"/>
      <c r="CT23" s="464"/>
      <c r="CU23" s="464"/>
      <c r="CV23" s="464"/>
      <c r="CW23" s="464"/>
      <c r="CX23" s="464"/>
      <c r="CY23" s="464"/>
      <c r="CZ23" s="464"/>
      <c r="DA23" s="464"/>
      <c r="DB23" s="464"/>
      <c r="DC23" s="464"/>
      <c r="DD23" s="464"/>
      <c r="DE23" s="464"/>
      <c r="DF23" s="464"/>
      <c r="DG23" s="464"/>
      <c r="DH23" s="464"/>
      <c r="DI23" s="464"/>
      <c r="DJ23" s="464"/>
      <c r="DK23" s="464"/>
      <c r="DL23" s="464"/>
      <c r="DM23" s="464"/>
      <c r="DN23" s="464"/>
      <c r="DO23" s="464"/>
      <c r="DP23" s="464"/>
      <c r="DQ23" s="464"/>
      <c r="DR23" s="464"/>
      <c r="DS23" s="464"/>
      <c r="DT23" s="464"/>
      <c r="DU23" s="464"/>
      <c r="DV23" s="464"/>
      <c r="DW23" s="464"/>
      <c r="DX23" s="464"/>
      <c r="DY23" s="464"/>
      <c r="DZ23" s="464"/>
      <c r="EA23" s="464"/>
      <c r="EB23" s="464"/>
      <c r="EC23" s="464"/>
      <c r="ED23" s="464"/>
      <c r="EE23" s="464"/>
      <c r="EF23" s="464"/>
      <c r="EG23" s="464"/>
      <c r="EH23" s="464"/>
      <c r="EI23" s="464"/>
      <c r="EJ23" s="464"/>
      <c r="EK23" s="464"/>
      <c r="EL23" s="464"/>
      <c r="EM23" s="464"/>
      <c r="EN23" s="464"/>
      <c r="EO23" s="464"/>
      <c r="EP23" s="464"/>
      <c r="EQ23" s="464"/>
      <c r="ER23" s="464"/>
      <c r="ES23" s="464"/>
      <c r="ET23" s="464"/>
      <c r="EU23" s="464"/>
      <c r="EV23" s="464"/>
      <c r="EW23" s="464"/>
      <c r="EX23" s="464"/>
      <c r="EY23" s="464"/>
      <c r="EZ23" s="464"/>
      <c r="FA23" s="464"/>
      <c r="FB23" s="464"/>
      <c r="FC23" s="464"/>
      <c r="FD23" s="464"/>
      <c r="FE23" s="464"/>
      <c r="FF23" s="464"/>
      <c r="FG23" s="301"/>
      <c r="FH23" s="301"/>
      <c r="FI23" s="301"/>
      <c r="FJ23" s="301"/>
      <c r="FK23" s="301"/>
      <c r="FL23" s="301"/>
      <c r="FM23" s="301"/>
      <c r="FN23" s="301"/>
    </row>
    <row r="24" spans="2:170" x14ac:dyDescent="0.25">
      <c r="B24" s="984"/>
      <c r="C24" s="551">
        <f t="shared" si="36"/>
        <v>14</v>
      </c>
      <c r="D24" s="553" t="s">
        <v>382</v>
      </c>
      <c r="E24" s="464"/>
      <c r="F24" s="464"/>
      <c r="G24" s="566"/>
      <c r="H24" s="566"/>
      <c r="I24" s="566"/>
      <c r="J24" s="566"/>
      <c r="K24" s="566"/>
      <c r="L24" s="566"/>
      <c r="M24" s="566"/>
      <c r="N24" s="566"/>
      <c r="O24" s="566"/>
      <c r="P24" s="566"/>
      <c r="Q24" s="566"/>
      <c r="R24" s="566"/>
      <c r="S24" s="566"/>
      <c r="T24" s="568"/>
      <c r="U24" s="568"/>
      <c r="V24" s="568"/>
      <c r="W24" s="568"/>
      <c r="X24" s="568"/>
      <c r="Y24" s="568"/>
      <c r="Z24" s="568"/>
      <c r="AA24" s="586"/>
      <c r="AB24" s="586"/>
      <c r="AC24" s="586"/>
      <c r="AD24" s="586"/>
      <c r="AE24" s="586"/>
      <c r="AF24" s="464"/>
      <c r="AG24" s="464"/>
      <c r="AH24" s="464"/>
      <c r="AI24" s="464"/>
      <c r="AJ24" s="464"/>
      <c r="AK24" s="464"/>
      <c r="AL24" s="464"/>
      <c r="AM24" s="464"/>
      <c r="AN24" s="464"/>
      <c r="AO24" s="464"/>
      <c r="AP24" s="464"/>
      <c r="AQ24" s="464"/>
      <c r="AR24" s="464"/>
      <c r="AS24" s="464"/>
      <c r="AT24" s="464"/>
      <c r="AU24" s="464"/>
      <c r="AV24" s="463"/>
      <c r="AW24" s="464"/>
      <c r="AX24" s="464"/>
      <c r="AY24" s="464"/>
      <c r="AZ24" s="464"/>
      <c r="BA24" s="464"/>
      <c r="BB24" s="464"/>
      <c r="BC24" s="464"/>
      <c r="BD24" s="464"/>
      <c r="BE24" s="464"/>
      <c r="BF24" s="464"/>
      <c r="BG24" s="464"/>
      <c r="BH24" s="464"/>
      <c r="BI24" s="464"/>
      <c r="BJ24" s="464"/>
      <c r="BK24" s="464"/>
      <c r="BL24" s="464"/>
      <c r="BM24" s="464"/>
      <c r="BN24" s="464"/>
      <c r="BO24" s="464"/>
      <c r="BP24" s="464"/>
      <c r="BQ24" s="464"/>
      <c r="BR24" s="464"/>
      <c r="BS24" s="464"/>
      <c r="BT24" s="464"/>
      <c r="BU24" s="464"/>
      <c r="BV24" s="464"/>
      <c r="BW24" s="464"/>
      <c r="BX24" s="464"/>
      <c r="BY24" s="464"/>
      <c r="BZ24" s="464"/>
      <c r="CA24" s="464"/>
      <c r="CB24" s="464"/>
      <c r="CC24" s="464"/>
      <c r="CD24" s="464"/>
      <c r="CE24" s="464"/>
      <c r="CF24" s="464"/>
      <c r="CG24" s="464"/>
      <c r="CH24" s="464"/>
      <c r="CI24" s="464"/>
      <c r="CJ24" s="464"/>
      <c r="CK24" s="464"/>
      <c r="CL24" s="464"/>
      <c r="CM24" s="464"/>
      <c r="CN24" s="464"/>
      <c r="CO24" s="464"/>
      <c r="CP24" s="464"/>
      <c r="CQ24" s="464"/>
      <c r="CR24" s="464"/>
      <c r="CS24" s="464"/>
      <c r="CT24" s="464"/>
      <c r="CU24" s="464"/>
      <c r="CV24" s="464"/>
      <c r="CW24" s="464"/>
      <c r="CX24" s="464"/>
      <c r="CY24" s="464"/>
      <c r="CZ24" s="464"/>
      <c r="DA24" s="464"/>
      <c r="DB24" s="464"/>
      <c r="DC24" s="464"/>
      <c r="DD24" s="464"/>
      <c r="DE24" s="464"/>
      <c r="DF24" s="464"/>
      <c r="DG24" s="464"/>
      <c r="DH24" s="464"/>
      <c r="DI24" s="464"/>
      <c r="DJ24" s="464"/>
      <c r="DK24" s="464"/>
      <c r="DL24" s="464"/>
      <c r="DM24" s="464"/>
      <c r="DN24" s="464"/>
      <c r="DO24" s="464"/>
      <c r="DP24" s="464"/>
      <c r="DQ24" s="464"/>
      <c r="DR24" s="464"/>
      <c r="DS24" s="464"/>
      <c r="DT24" s="464"/>
      <c r="DU24" s="464"/>
      <c r="DV24" s="464"/>
      <c r="DW24" s="464"/>
      <c r="DX24" s="464"/>
      <c r="DY24" s="464"/>
      <c r="DZ24" s="464"/>
      <c r="EA24" s="464"/>
      <c r="EB24" s="464"/>
      <c r="EC24" s="464"/>
      <c r="ED24" s="464"/>
      <c r="EE24" s="464"/>
      <c r="EF24" s="464"/>
      <c r="EG24" s="464"/>
      <c r="EH24" s="464"/>
      <c r="EI24" s="464"/>
      <c r="EJ24" s="464"/>
      <c r="EK24" s="464"/>
      <c r="EL24" s="464"/>
      <c r="EM24" s="464"/>
      <c r="EN24" s="464"/>
      <c r="EO24" s="464"/>
      <c r="EP24" s="464"/>
      <c r="EQ24" s="464"/>
      <c r="ER24" s="464"/>
      <c r="ES24" s="464"/>
      <c r="ET24" s="464"/>
      <c r="EU24" s="464"/>
      <c r="EV24" s="464"/>
      <c r="EW24" s="464"/>
      <c r="EX24" s="464"/>
      <c r="EY24" s="464"/>
      <c r="EZ24" s="464"/>
      <c r="FA24" s="464"/>
      <c r="FB24" s="464"/>
      <c r="FC24" s="464"/>
      <c r="FD24" s="464"/>
      <c r="FE24" s="464"/>
      <c r="FF24" s="464"/>
      <c r="FG24" s="301"/>
      <c r="FH24" s="301"/>
      <c r="FI24" s="301"/>
      <c r="FJ24" s="301"/>
      <c r="FK24" s="301"/>
      <c r="FL24" s="301"/>
      <c r="FM24" s="301"/>
      <c r="FN24" s="301"/>
    </row>
    <row r="25" spans="2:170" x14ac:dyDescent="0.25">
      <c r="B25" s="984"/>
      <c r="C25" s="551">
        <f t="shared" si="36"/>
        <v>15</v>
      </c>
      <c r="D25" s="553" t="s">
        <v>383</v>
      </c>
      <c r="E25" s="464"/>
      <c r="F25" s="464"/>
      <c r="G25" s="566"/>
      <c r="H25" s="566"/>
      <c r="I25" s="566"/>
      <c r="J25" s="566"/>
      <c r="K25" s="566"/>
      <c r="L25" s="566"/>
      <c r="M25" s="566"/>
      <c r="N25" s="566"/>
      <c r="O25" s="566"/>
      <c r="P25" s="566"/>
      <c r="Q25" s="566"/>
      <c r="R25" s="566"/>
      <c r="S25" s="566"/>
      <c r="T25" s="568"/>
      <c r="U25" s="568"/>
      <c r="V25" s="568"/>
      <c r="W25" s="568"/>
      <c r="X25" s="568"/>
      <c r="Y25" s="568"/>
      <c r="Z25" s="568"/>
      <c r="AA25" s="586"/>
      <c r="AB25" s="586"/>
      <c r="AC25" s="586"/>
      <c r="AD25" s="586"/>
      <c r="AE25" s="586"/>
      <c r="AF25" s="464"/>
      <c r="AG25" s="464"/>
      <c r="AH25" s="464"/>
      <c r="AI25" s="464"/>
      <c r="AJ25" s="464"/>
      <c r="AK25" s="464"/>
      <c r="AL25" s="464"/>
      <c r="AM25" s="464"/>
      <c r="AN25" s="464"/>
      <c r="AO25" s="464"/>
      <c r="AP25" s="464"/>
      <c r="AQ25" s="464"/>
      <c r="AR25" s="464"/>
      <c r="AS25" s="464"/>
      <c r="AT25" s="464"/>
      <c r="AU25" s="464"/>
      <c r="AV25" s="463"/>
      <c r="AW25" s="464"/>
      <c r="AX25" s="464"/>
      <c r="AY25" s="464"/>
      <c r="AZ25" s="464"/>
      <c r="BA25" s="464"/>
      <c r="BB25" s="464"/>
      <c r="BC25" s="464"/>
      <c r="BD25" s="464"/>
      <c r="BE25" s="464"/>
      <c r="BF25" s="464"/>
      <c r="BG25" s="464"/>
      <c r="BH25" s="464"/>
      <c r="BI25" s="464"/>
      <c r="BJ25" s="464"/>
      <c r="BK25" s="464"/>
      <c r="BL25" s="464"/>
      <c r="BM25" s="464"/>
      <c r="BN25" s="464"/>
      <c r="BO25" s="464"/>
      <c r="BP25" s="464"/>
      <c r="BQ25" s="464"/>
      <c r="BR25" s="464"/>
      <c r="BS25" s="464"/>
      <c r="BT25" s="464"/>
      <c r="BU25" s="464"/>
      <c r="BV25" s="464"/>
      <c r="BW25" s="464"/>
      <c r="BX25" s="464"/>
      <c r="BY25" s="464"/>
      <c r="BZ25" s="464"/>
      <c r="CA25" s="464"/>
      <c r="CB25" s="464"/>
      <c r="CC25" s="464"/>
      <c r="CD25" s="464"/>
      <c r="CE25" s="464"/>
      <c r="CF25" s="464"/>
      <c r="CG25" s="464"/>
      <c r="CH25" s="464"/>
      <c r="CI25" s="464"/>
      <c r="CJ25" s="464"/>
      <c r="CK25" s="464"/>
      <c r="CL25" s="464"/>
      <c r="CM25" s="464"/>
      <c r="CN25" s="464"/>
      <c r="CO25" s="464"/>
      <c r="CP25" s="464"/>
      <c r="CQ25" s="464"/>
      <c r="CR25" s="464"/>
      <c r="CS25" s="464"/>
      <c r="CT25" s="464"/>
      <c r="CU25" s="464"/>
      <c r="CV25" s="464"/>
      <c r="CW25" s="464"/>
      <c r="CX25" s="464"/>
      <c r="CY25" s="464"/>
      <c r="CZ25" s="464"/>
      <c r="DA25" s="464"/>
      <c r="DB25" s="464"/>
      <c r="DC25" s="464"/>
      <c r="DD25" s="464"/>
      <c r="DE25" s="464"/>
      <c r="DF25" s="464"/>
      <c r="DG25" s="464"/>
      <c r="DH25" s="464"/>
      <c r="DI25" s="464"/>
      <c r="DJ25" s="464"/>
      <c r="DK25" s="464"/>
      <c r="DL25" s="464"/>
      <c r="DM25" s="464"/>
      <c r="DN25" s="464"/>
      <c r="DO25" s="464"/>
      <c r="DP25" s="464"/>
      <c r="DQ25" s="464"/>
      <c r="DR25" s="464"/>
      <c r="DS25" s="464"/>
      <c r="DT25" s="464"/>
      <c r="DU25" s="464"/>
      <c r="DV25" s="464"/>
      <c r="DW25" s="464"/>
      <c r="DX25" s="464"/>
      <c r="DY25" s="464"/>
      <c r="DZ25" s="464"/>
      <c r="EA25" s="464"/>
      <c r="EB25" s="464"/>
      <c r="EC25" s="464"/>
      <c r="ED25" s="464"/>
      <c r="EE25" s="464"/>
      <c r="EF25" s="464"/>
      <c r="EG25" s="464"/>
      <c r="EH25" s="464"/>
      <c r="EI25" s="464"/>
      <c r="EJ25" s="464"/>
      <c r="EK25" s="464"/>
      <c r="EL25" s="464"/>
      <c r="EM25" s="464"/>
      <c r="EN25" s="464"/>
      <c r="EO25" s="464"/>
      <c r="EP25" s="464"/>
      <c r="EQ25" s="464"/>
      <c r="ER25" s="464"/>
      <c r="ES25" s="464"/>
      <c r="ET25" s="464"/>
      <c r="EU25" s="464"/>
      <c r="EV25" s="464"/>
      <c r="EW25" s="464"/>
      <c r="EX25" s="464"/>
      <c r="EY25" s="464"/>
      <c r="EZ25" s="464"/>
      <c r="FA25" s="464"/>
      <c r="FB25" s="464"/>
      <c r="FC25" s="464"/>
      <c r="FD25" s="464"/>
      <c r="FE25" s="464"/>
      <c r="FF25" s="464"/>
      <c r="FG25" s="301"/>
      <c r="FH25" s="301"/>
      <c r="FI25" s="301"/>
      <c r="FJ25" s="301"/>
      <c r="FK25" s="301"/>
      <c r="FL25" s="301"/>
      <c r="FM25" s="301"/>
      <c r="FN25" s="301"/>
    </row>
    <row r="26" spans="2:170" x14ac:dyDescent="0.25">
      <c r="B26" s="984"/>
      <c r="C26" s="551">
        <f t="shared" si="36"/>
        <v>16</v>
      </c>
      <c r="D26" s="553" t="s">
        <v>385</v>
      </c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4"/>
      <c r="AA26" s="586"/>
      <c r="AB26" s="464"/>
      <c r="AC26" s="464"/>
      <c r="AD26" s="464"/>
      <c r="AE26" s="464"/>
      <c r="AF26" s="464"/>
      <c r="AG26" s="464"/>
      <c r="AH26" s="464"/>
      <c r="AI26" s="464"/>
      <c r="AJ26" s="464"/>
      <c r="AK26" s="464"/>
      <c r="AL26" s="464"/>
      <c r="AM26" s="464"/>
      <c r="AN26" s="464"/>
      <c r="AO26" s="464"/>
      <c r="AP26" s="464"/>
      <c r="AQ26" s="464"/>
      <c r="AR26" s="464"/>
      <c r="AS26" s="464"/>
      <c r="AT26" s="464"/>
      <c r="AU26" s="464"/>
      <c r="AV26" s="463"/>
      <c r="AW26" s="464"/>
      <c r="AX26" s="464"/>
      <c r="AY26" s="464"/>
      <c r="AZ26" s="464"/>
      <c r="BA26" s="464"/>
      <c r="BB26" s="464"/>
      <c r="BC26" s="464"/>
      <c r="BD26" s="464"/>
      <c r="BE26" s="464"/>
      <c r="BF26" s="464"/>
      <c r="BG26" s="464"/>
      <c r="BH26" s="464"/>
      <c r="BI26" s="464"/>
      <c r="BJ26" s="464"/>
      <c r="BK26" s="464"/>
      <c r="BL26" s="464"/>
      <c r="BM26" s="464"/>
      <c r="BN26" s="464"/>
      <c r="BO26" s="464"/>
      <c r="BP26" s="464"/>
      <c r="BQ26" s="464"/>
      <c r="BR26" s="464"/>
      <c r="BS26" s="464"/>
      <c r="BT26" s="464"/>
      <c r="BU26" s="464"/>
      <c r="BV26" s="464"/>
      <c r="BW26" s="464"/>
      <c r="BX26" s="464"/>
      <c r="BY26" s="464"/>
      <c r="BZ26" s="464"/>
      <c r="CA26" s="464"/>
      <c r="CB26" s="464"/>
      <c r="CC26" s="464"/>
      <c r="CD26" s="464"/>
      <c r="CE26" s="464"/>
      <c r="CF26" s="464"/>
      <c r="CG26" s="464"/>
      <c r="CH26" s="464"/>
      <c r="CI26" s="464"/>
      <c r="CJ26" s="464"/>
      <c r="CK26" s="464"/>
      <c r="CL26" s="464"/>
      <c r="CM26" s="464"/>
      <c r="CN26" s="464"/>
      <c r="CO26" s="464"/>
      <c r="CP26" s="464"/>
      <c r="CQ26" s="464"/>
      <c r="CR26" s="464"/>
      <c r="CS26" s="464"/>
      <c r="CT26" s="464"/>
      <c r="CU26" s="464"/>
      <c r="CV26" s="464"/>
      <c r="CW26" s="464"/>
      <c r="CX26" s="464"/>
      <c r="CY26" s="464"/>
      <c r="CZ26" s="464"/>
      <c r="DA26" s="464"/>
      <c r="DB26" s="464"/>
      <c r="DC26" s="464"/>
      <c r="DD26" s="464"/>
      <c r="DE26" s="464"/>
      <c r="DF26" s="464"/>
      <c r="DG26" s="464"/>
      <c r="DH26" s="464"/>
      <c r="DI26" s="464"/>
      <c r="DJ26" s="464"/>
      <c r="DK26" s="464"/>
      <c r="DL26" s="464"/>
      <c r="DM26" s="464"/>
      <c r="DN26" s="464"/>
      <c r="DO26" s="464"/>
      <c r="DP26" s="464"/>
      <c r="DQ26" s="464"/>
      <c r="DR26" s="464"/>
      <c r="DS26" s="464"/>
      <c r="DT26" s="464"/>
      <c r="DU26" s="464"/>
      <c r="DV26" s="464"/>
      <c r="DW26" s="464"/>
      <c r="DX26" s="464"/>
      <c r="DY26" s="464"/>
      <c r="DZ26" s="464"/>
      <c r="EA26" s="464"/>
      <c r="EB26" s="464"/>
      <c r="EC26" s="464"/>
      <c r="ED26" s="464"/>
      <c r="EE26" s="464"/>
      <c r="EF26" s="464"/>
      <c r="EG26" s="464"/>
      <c r="EH26" s="464"/>
      <c r="EI26" s="464"/>
      <c r="EJ26" s="464"/>
      <c r="EK26" s="464"/>
      <c r="EL26" s="464"/>
      <c r="EM26" s="464"/>
      <c r="EN26" s="464"/>
      <c r="EO26" s="464"/>
      <c r="EP26" s="464"/>
      <c r="EQ26" s="464"/>
      <c r="ER26" s="464"/>
      <c r="ES26" s="464"/>
      <c r="ET26" s="464"/>
      <c r="EU26" s="464"/>
      <c r="EV26" s="464"/>
      <c r="EW26" s="464"/>
      <c r="EX26" s="464"/>
      <c r="EY26" s="464"/>
      <c r="EZ26" s="464"/>
      <c r="FA26" s="464"/>
      <c r="FB26" s="464"/>
      <c r="FC26" s="464"/>
      <c r="FD26" s="464"/>
      <c r="FE26" s="464"/>
      <c r="FF26" s="464"/>
      <c r="FG26" s="301"/>
      <c r="FH26" s="301"/>
      <c r="FI26" s="301"/>
      <c r="FJ26" s="301"/>
      <c r="FK26" s="301"/>
      <c r="FL26" s="301"/>
      <c r="FM26" s="301"/>
      <c r="FN26" s="301"/>
    </row>
    <row r="27" spans="2:170" x14ac:dyDescent="0.25">
      <c r="B27" s="984"/>
      <c r="C27" s="551">
        <f t="shared" si="36"/>
        <v>17</v>
      </c>
      <c r="D27" s="553" t="s">
        <v>384</v>
      </c>
      <c r="E27" s="464"/>
      <c r="F27" s="464"/>
      <c r="G27" s="464"/>
      <c r="H27" s="464"/>
      <c r="I27" s="464"/>
      <c r="J27" s="464"/>
      <c r="K27" s="464"/>
      <c r="L27" s="464"/>
      <c r="M27" s="464"/>
      <c r="N27" s="464"/>
      <c r="O27" s="464"/>
      <c r="P27" s="464"/>
      <c r="Q27" s="464"/>
      <c r="R27" s="464"/>
      <c r="S27" s="566"/>
      <c r="T27" s="464"/>
      <c r="U27" s="464"/>
      <c r="V27" s="464"/>
      <c r="W27" s="464"/>
      <c r="X27" s="464"/>
      <c r="Y27" s="568"/>
      <c r="Z27" s="464"/>
      <c r="AA27" s="586"/>
      <c r="AB27" s="464"/>
      <c r="AC27" s="464"/>
      <c r="AD27" s="464"/>
      <c r="AE27" s="464"/>
      <c r="AF27" s="464"/>
      <c r="AG27" s="464"/>
      <c r="AH27" s="464"/>
      <c r="AI27" s="464"/>
      <c r="AJ27" s="464"/>
      <c r="AK27" s="464"/>
      <c r="AL27" s="464"/>
      <c r="AM27" s="464"/>
      <c r="AN27" s="464"/>
      <c r="AO27" s="464"/>
      <c r="AP27" s="464"/>
      <c r="AQ27" s="464"/>
      <c r="AR27" s="464"/>
      <c r="AS27" s="464"/>
      <c r="AT27" s="464"/>
      <c r="AU27" s="464"/>
      <c r="AV27" s="463"/>
      <c r="AW27" s="464"/>
      <c r="AX27" s="464"/>
      <c r="AY27" s="464"/>
      <c r="AZ27" s="464"/>
      <c r="BA27" s="464"/>
      <c r="BB27" s="464"/>
      <c r="BC27" s="464"/>
      <c r="BD27" s="464"/>
      <c r="BE27" s="464"/>
      <c r="BF27" s="464"/>
      <c r="BG27" s="464"/>
      <c r="BH27" s="464"/>
      <c r="BI27" s="464"/>
      <c r="BJ27" s="464"/>
      <c r="BK27" s="464"/>
      <c r="BL27" s="464"/>
      <c r="BM27" s="464"/>
      <c r="BN27" s="464"/>
      <c r="BO27" s="464"/>
      <c r="BP27" s="464"/>
      <c r="BQ27" s="464"/>
      <c r="BR27" s="464"/>
      <c r="BS27" s="464"/>
      <c r="BT27" s="464"/>
      <c r="BU27" s="464"/>
      <c r="BV27" s="464"/>
      <c r="BW27" s="464"/>
      <c r="BX27" s="464"/>
      <c r="BY27" s="464"/>
      <c r="BZ27" s="464"/>
      <c r="CA27" s="464"/>
      <c r="CB27" s="464"/>
      <c r="CC27" s="464"/>
      <c r="CD27" s="464"/>
      <c r="CE27" s="464"/>
      <c r="CF27" s="464"/>
      <c r="CG27" s="464"/>
      <c r="CH27" s="464"/>
      <c r="CI27" s="464"/>
      <c r="CJ27" s="464"/>
      <c r="CK27" s="464"/>
      <c r="CL27" s="464"/>
      <c r="CM27" s="464"/>
      <c r="CN27" s="464"/>
      <c r="CO27" s="464"/>
      <c r="CP27" s="464"/>
      <c r="CQ27" s="464"/>
      <c r="CR27" s="464"/>
      <c r="CS27" s="464"/>
      <c r="CT27" s="464"/>
      <c r="CU27" s="464"/>
      <c r="CV27" s="464"/>
      <c r="CW27" s="464"/>
      <c r="CX27" s="464"/>
      <c r="CY27" s="464"/>
      <c r="CZ27" s="464"/>
      <c r="DA27" s="464"/>
      <c r="DB27" s="464"/>
      <c r="DC27" s="464"/>
      <c r="DD27" s="464"/>
      <c r="DE27" s="464"/>
      <c r="DF27" s="464"/>
      <c r="DG27" s="464"/>
      <c r="DH27" s="464"/>
      <c r="DI27" s="464"/>
      <c r="DJ27" s="464"/>
      <c r="DK27" s="464"/>
      <c r="DL27" s="464"/>
      <c r="DM27" s="464"/>
      <c r="DN27" s="464"/>
      <c r="DO27" s="464"/>
      <c r="DP27" s="464"/>
      <c r="DQ27" s="464"/>
      <c r="DR27" s="464"/>
      <c r="DS27" s="464"/>
      <c r="DT27" s="464"/>
      <c r="DU27" s="464"/>
      <c r="DV27" s="464"/>
      <c r="DW27" s="464"/>
      <c r="DX27" s="464"/>
      <c r="DY27" s="464"/>
      <c r="DZ27" s="464"/>
      <c r="EA27" s="464"/>
      <c r="EB27" s="464"/>
      <c r="EC27" s="464"/>
      <c r="ED27" s="464"/>
      <c r="EE27" s="464"/>
      <c r="EF27" s="464"/>
      <c r="EG27" s="464"/>
      <c r="EH27" s="464"/>
      <c r="EI27" s="464"/>
      <c r="EJ27" s="464"/>
      <c r="EK27" s="464"/>
      <c r="EL27" s="464"/>
      <c r="EM27" s="464"/>
      <c r="EN27" s="464"/>
      <c r="EO27" s="464"/>
      <c r="EP27" s="464"/>
      <c r="EQ27" s="464"/>
      <c r="ER27" s="464"/>
      <c r="ES27" s="464"/>
      <c r="ET27" s="464"/>
      <c r="EU27" s="464"/>
      <c r="EV27" s="464"/>
      <c r="EW27" s="464"/>
      <c r="EX27" s="464"/>
      <c r="EY27" s="464"/>
      <c r="EZ27" s="464"/>
      <c r="FA27" s="464"/>
      <c r="FB27" s="464"/>
      <c r="FC27" s="464"/>
      <c r="FD27" s="464"/>
      <c r="FE27" s="464"/>
      <c r="FF27" s="464"/>
      <c r="FG27" s="301"/>
      <c r="FH27" s="301"/>
      <c r="FI27" s="301"/>
      <c r="FJ27" s="301"/>
      <c r="FK27" s="301"/>
      <c r="FL27" s="301"/>
      <c r="FM27" s="301"/>
      <c r="FN27" s="301"/>
    </row>
    <row r="28" spans="2:170" x14ac:dyDescent="0.25">
      <c r="B28" s="984"/>
      <c r="C28" s="551">
        <f>C27+1</f>
        <v>18</v>
      </c>
      <c r="D28" s="553" t="s">
        <v>386</v>
      </c>
      <c r="E28" s="464"/>
      <c r="F28" s="464"/>
      <c r="G28" s="464"/>
      <c r="H28" s="464"/>
      <c r="I28" s="464"/>
      <c r="J28" s="464"/>
      <c r="K28" s="464"/>
      <c r="L28" s="464"/>
      <c r="M28" s="464"/>
      <c r="N28" s="464"/>
      <c r="O28" s="566"/>
      <c r="P28" s="464"/>
      <c r="Q28" s="464"/>
      <c r="R28" s="464"/>
      <c r="S28" s="464"/>
      <c r="T28" s="568"/>
      <c r="U28" s="464"/>
      <c r="V28" s="464"/>
      <c r="W28" s="464"/>
      <c r="X28" s="464"/>
      <c r="Y28" s="464"/>
      <c r="Z28" s="464"/>
      <c r="AA28" s="464"/>
      <c r="AB28" s="464"/>
      <c r="AC28" s="586"/>
      <c r="AD28" s="464"/>
      <c r="AE28" s="464"/>
      <c r="AF28" s="464"/>
      <c r="AG28" s="464"/>
      <c r="AH28" s="464"/>
      <c r="AI28" s="464"/>
      <c r="AJ28" s="464"/>
      <c r="AK28" s="464"/>
      <c r="AL28" s="464"/>
      <c r="AM28" s="464"/>
      <c r="AN28" s="464"/>
      <c r="AO28" s="464"/>
      <c r="AP28" s="464"/>
      <c r="AQ28" s="464"/>
      <c r="AR28" s="464"/>
      <c r="AS28" s="464"/>
      <c r="AT28" s="464"/>
      <c r="AU28" s="464"/>
      <c r="AV28" s="463"/>
      <c r="AW28" s="464"/>
      <c r="AX28" s="464"/>
      <c r="AY28" s="464"/>
      <c r="AZ28" s="464"/>
      <c r="BA28" s="464"/>
      <c r="BB28" s="464"/>
      <c r="BC28" s="464"/>
      <c r="BD28" s="464"/>
      <c r="BE28" s="464"/>
      <c r="BF28" s="464"/>
      <c r="BG28" s="464"/>
      <c r="BH28" s="464"/>
      <c r="BI28" s="464"/>
      <c r="BJ28" s="464"/>
      <c r="BK28" s="464"/>
      <c r="BL28" s="464"/>
      <c r="BM28" s="464"/>
      <c r="BN28" s="464"/>
      <c r="BO28" s="464"/>
      <c r="BP28" s="464"/>
      <c r="BQ28" s="464"/>
      <c r="BR28" s="464"/>
      <c r="BS28" s="464"/>
      <c r="BT28" s="464"/>
      <c r="BU28" s="464"/>
      <c r="BV28" s="464"/>
      <c r="BW28" s="464"/>
      <c r="BX28" s="464"/>
      <c r="BY28" s="464"/>
      <c r="BZ28" s="464"/>
      <c r="CA28" s="464"/>
      <c r="CB28" s="464"/>
      <c r="CC28" s="464"/>
      <c r="CD28" s="464"/>
      <c r="CE28" s="464"/>
      <c r="CF28" s="464"/>
      <c r="CG28" s="464"/>
      <c r="CH28" s="464"/>
      <c r="CI28" s="464"/>
      <c r="CJ28" s="464"/>
      <c r="CK28" s="464"/>
      <c r="CL28" s="464"/>
      <c r="CM28" s="464"/>
      <c r="CN28" s="464"/>
      <c r="CO28" s="464"/>
      <c r="CP28" s="464"/>
      <c r="CQ28" s="464"/>
      <c r="CR28" s="464"/>
      <c r="CS28" s="464"/>
      <c r="CT28" s="464"/>
      <c r="CU28" s="464"/>
      <c r="CV28" s="464"/>
      <c r="CW28" s="464"/>
      <c r="CX28" s="464"/>
      <c r="CY28" s="464"/>
      <c r="CZ28" s="464"/>
      <c r="DA28" s="464"/>
      <c r="DB28" s="464"/>
      <c r="DC28" s="464"/>
      <c r="DD28" s="464"/>
      <c r="DE28" s="464"/>
      <c r="DF28" s="464"/>
      <c r="DG28" s="464"/>
      <c r="DH28" s="464"/>
      <c r="DI28" s="464"/>
      <c r="DJ28" s="464"/>
      <c r="DK28" s="464"/>
      <c r="DL28" s="464"/>
      <c r="DM28" s="464"/>
      <c r="DN28" s="464"/>
      <c r="DO28" s="464"/>
      <c r="DP28" s="464"/>
      <c r="DQ28" s="464"/>
      <c r="DR28" s="464"/>
      <c r="DS28" s="464"/>
      <c r="DT28" s="464"/>
      <c r="DU28" s="464"/>
      <c r="DV28" s="464"/>
      <c r="DW28" s="464"/>
      <c r="DX28" s="464"/>
      <c r="DY28" s="464"/>
      <c r="DZ28" s="464"/>
      <c r="EA28" s="464"/>
      <c r="EB28" s="464"/>
      <c r="EC28" s="464"/>
      <c r="ED28" s="464"/>
      <c r="EE28" s="464"/>
      <c r="EF28" s="464"/>
      <c r="EG28" s="464"/>
      <c r="EH28" s="464"/>
      <c r="EI28" s="464"/>
      <c r="EJ28" s="464"/>
      <c r="EK28" s="464"/>
      <c r="EL28" s="464"/>
      <c r="EM28" s="464"/>
      <c r="EN28" s="464"/>
      <c r="EO28" s="464"/>
      <c r="EP28" s="464"/>
      <c r="EQ28" s="464"/>
      <c r="ER28" s="464"/>
      <c r="ES28" s="464"/>
      <c r="ET28" s="464"/>
      <c r="EU28" s="464"/>
      <c r="EV28" s="464"/>
      <c r="EW28" s="464"/>
      <c r="EX28" s="464"/>
      <c r="EY28" s="464"/>
      <c r="EZ28" s="464"/>
      <c r="FA28" s="464"/>
      <c r="FB28" s="464"/>
      <c r="FC28" s="464"/>
      <c r="FD28" s="464"/>
      <c r="FE28" s="464"/>
      <c r="FF28" s="464"/>
      <c r="FG28" s="301"/>
      <c r="FH28" s="301"/>
      <c r="FI28" s="301"/>
      <c r="FJ28" s="301"/>
      <c r="FK28" s="301"/>
      <c r="FL28" s="301"/>
      <c r="FM28" s="301"/>
      <c r="FN28" s="301"/>
    </row>
    <row r="29" spans="2:170" x14ac:dyDescent="0.25">
      <c r="B29" s="984"/>
      <c r="C29" s="551">
        <f t="shared" ref="C29:C34" si="37">C28+1</f>
        <v>19</v>
      </c>
      <c r="D29" s="553" t="s">
        <v>220</v>
      </c>
      <c r="E29" s="464"/>
      <c r="F29" s="464"/>
      <c r="G29" s="464"/>
      <c r="H29" s="464"/>
      <c r="I29" s="464"/>
      <c r="J29" s="464"/>
      <c r="K29" s="464"/>
      <c r="L29" s="464"/>
      <c r="M29" s="464"/>
      <c r="N29" s="464"/>
      <c r="O29" s="566"/>
      <c r="P29" s="464"/>
      <c r="Q29" s="464"/>
      <c r="R29" s="464"/>
      <c r="S29" s="464"/>
      <c r="T29" s="568"/>
      <c r="U29" s="464"/>
      <c r="V29" s="464"/>
      <c r="W29" s="464"/>
      <c r="X29" s="464"/>
      <c r="Y29" s="464"/>
      <c r="Z29" s="464"/>
      <c r="AA29" s="464"/>
      <c r="AB29" s="464"/>
      <c r="AC29" s="586"/>
      <c r="AD29" s="464"/>
      <c r="AE29" s="464"/>
      <c r="AF29" s="464"/>
      <c r="AG29" s="464"/>
      <c r="AH29" s="464"/>
      <c r="AI29" s="464"/>
      <c r="AJ29" s="464"/>
      <c r="AK29" s="464"/>
      <c r="AL29" s="464"/>
      <c r="AM29" s="464"/>
      <c r="AN29" s="464"/>
      <c r="AO29" s="464"/>
      <c r="AP29" s="464"/>
      <c r="AQ29" s="464"/>
      <c r="AR29" s="464"/>
      <c r="AS29" s="464"/>
      <c r="AT29" s="464"/>
      <c r="AU29" s="464"/>
      <c r="AV29" s="463"/>
      <c r="AW29" s="464"/>
      <c r="AX29" s="464"/>
      <c r="AY29" s="464"/>
      <c r="AZ29" s="464"/>
      <c r="BA29" s="464"/>
      <c r="BB29" s="464"/>
      <c r="BC29" s="464"/>
      <c r="BD29" s="464"/>
      <c r="BE29" s="464"/>
      <c r="BF29" s="464"/>
      <c r="BG29" s="464"/>
      <c r="BH29" s="464"/>
      <c r="BI29" s="464"/>
      <c r="BJ29" s="464"/>
      <c r="BK29" s="464"/>
      <c r="BL29" s="464"/>
      <c r="BM29" s="464"/>
      <c r="BN29" s="464"/>
      <c r="BO29" s="464"/>
      <c r="BP29" s="464"/>
      <c r="BQ29" s="464"/>
      <c r="BR29" s="464"/>
      <c r="BS29" s="464"/>
      <c r="BT29" s="464"/>
      <c r="BU29" s="464"/>
      <c r="BV29" s="464"/>
      <c r="BW29" s="464"/>
      <c r="BX29" s="464"/>
      <c r="BY29" s="464"/>
      <c r="BZ29" s="464"/>
      <c r="CA29" s="464"/>
      <c r="CB29" s="464"/>
      <c r="CC29" s="464"/>
      <c r="CD29" s="464"/>
      <c r="CE29" s="464"/>
      <c r="CF29" s="464"/>
      <c r="CG29" s="464"/>
      <c r="CH29" s="464"/>
      <c r="CI29" s="464"/>
      <c r="CJ29" s="464"/>
      <c r="CK29" s="464"/>
      <c r="CL29" s="464"/>
      <c r="CM29" s="464"/>
      <c r="CN29" s="464"/>
      <c r="CO29" s="464"/>
      <c r="CP29" s="464"/>
      <c r="CQ29" s="464"/>
      <c r="CR29" s="464"/>
      <c r="CS29" s="464"/>
      <c r="CT29" s="464"/>
      <c r="CU29" s="464"/>
      <c r="CV29" s="464"/>
      <c r="CW29" s="464"/>
      <c r="CX29" s="464"/>
      <c r="CY29" s="464"/>
      <c r="CZ29" s="464"/>
      <c r="DA29" s="464"/>
      <c r="DB29" s="464"/>
      <c r="DC29" s="464"/>
      <c r="DD29" s="464"/>
      <c r="DE29" s="464"/>
      <c r="DF29" s="464"/>
      <c r="DG29" s="464"/>
      <c r="DH29" s="464"/>
      <c r="DI29" s="464"/>
      <c r="DJ29" s="464"/>
      <c r="DK29" s="464"/>
      <c r="DL29" s="464"/>
      <c r="DM29" s="464"/>
      <c r="DN29" s="464"/>
      <c r="DO29" s="464"/>
      <c r="DP29" s="464"/>
      <c r="DQ29" s="464"/>
      <c r="DR29" s="464"/>
      <c r="DS29" s="464"/>
      <c r="DT29" s="464"/>
      <c r="DU29" s="464"/>
      <c r="DV29" s="464"/>
      <c r="DW29" s="464"/>
      <c r="DX29" s="464"/>
      <c r="DY29" s="464"/>
      <c r="DZ29" s="464"/>
      <c r="EA29" s="464"/>
      <c r="EB29" s="464"/>
      <c r="EC29" s="464"/>
      <c r="ED29" s="464"/>
      <c r="EE29" s="464"/>
      <c r="EF29" s="464"/>
      <c r="EG29" s="464"/>
      <c r="EH29" s="464"/>
      <c r="EI29" s="464"/>
      <c r="EJ29" s="464"/>
      <c r="EK29" s="464"/>
      <c r="EL29" s="464"/>
      <c r="EM29" s="464"/>
      <c r="EN29" s="464"/>
      <c r="EO29" s="464"/>
      <c r="EP29" s="464"/>
      <c r="EQ29" s="464"/>
      <c r="ER29" s="464"/>
      <c r="ES29" s="464"/>
      <c r="ET29" s="464"/>
      <c r="EU29" s="464"/>
      <c r="EV29" s="464"/>
      <c r="EW29" s="464"/>
      <c r="EX29" s="464"/>
      <c r="EY29" s="464"/>
      <c r="EZ29" s="464"/>
      <c r="FA29" s="464"/>
      <c r="FB29" s="464"/>
      <c r="FC29" s="464"/>
      <c r="FD29" s="464"/>
      <c r="FE29" s="464"/>
      <c r="FF29" s="464"/>
      <c r="FG29" s="301"/>
      <c r="FH29" s="301"/>
      <c r="FI29" s="301"/>
      <c r="FJ29" s="301"/>
      <c r="FK29" s="301"/>
      <c r="FL29" s="301"/>
      <c r="FM29" s="301"/>
      <c r="FN29" s="301"/>
    </row>
    <row r="30" spans="2:170" x14ac:dyDescent="0.25">
      <c r="B30" s="984"/>
      <c r="C30" s="551">
        <f t="shared" si="37"/>
        <v>20</v>
      </c>
      <c r="D30" s="553" t="s">
        <v>212</v>
      </c>
      <c r="E30" s="464"/>
      <c r="F30" s="464"/>
      <c r="G30" s="464"/>
      <c r="H30" s="464"/>
      <c r="I30" s="464"/>
      <c r="J30" s="464"/>
      <c r="K30" s="464"/>
      <c r="L30" s="464"/>
      <c r="M30" s="464"/>
      <c r="N30" s="464"/>
      <c r="O30" s="464"/>
      <c r="P30" s="566"/>
      <c r="Q30" s="99"/>
      <c r="R30" s="464"/>
      <c r="S30" s="464"/>
      <c r="T30" s="568"/>
      <c r="U30" s="568"/>
      <c r="V30" s="464"/>
      <c r="W30" s="464"/>
      <c r="X30" s="464"/>
      <c r="Y30" s="464"/>
      <c r="Z30" s="464"/>
      <c r="AA30" s="464"/>
      <c r="AB30" s="464"/>
      <c r="AC30" s="586"/>
      <c r="AD30" s="586"/>
      <c r="AE30" s="464"/>
      <c r="AF30" s="464"/>
      <c r="AG30" s="464"/>
      <c r="AH30" s="464"/>
      <c r="AI30" s="464"/>
      <c r="AJ30" s="464"/>
      <c r="AK30" s="464"/>
      <c r="AL30" s="464"/>
      <c r="AM30" s="464"/>
      <c r="AN30" s="464"/>
      <c r="AO30" s="464"/>
      <c r="AP30" s="464"/>
      <c r="AQ30" s="464"/>
      <c r="AR30" s="464"/>
      <c r="AS30" s="464"/>
      <c r="AT30" s="464"/>
      <c r="AU30" s="464"/>
      <c r="AV30" s="463"/>
      <c r="AW30" s="464"/>
      <c r="AX30" s="464"/>
      <c r="AY30" s="464"/>
      <c r="AZ30" s="464"/>
      <c r="BA30" s="464"/>
      <c r="BB30" s="464"/>
      <c r="BC30" s="464"/>
      <c r="BD30" s="464"/>
      <c r="BE30" s="464"/>
      <c r="BF30" s="464"/>
      <c r="BG30" s="464"/>
      <c r="BH30" s="464"/>
      <c r="BI30" s="464"/>
      <c r="BJ30" s="464"/>
      <c r="BK30" s="464"/>
      <c r="BL30" s="464"/>
      <c r="BM30" s="464"/>
      <c r="BN30" s="464"/>
      <c r="BO30" s="464"/>
      <c r="BP30" s="464"/>
      <c r="BQ30" s="464"/>
      <c r="BR30" s="464"/>
      <c r="BS30" s="464"/>
      <c r="BT30" s="464"/>
      <c r="BU30" s="464"/>
      <c r="BV30" s="464"/>
      <c r="BW30" s="464"/>
      <c r="BX30" s="464"/>
      <c r="BY30" s="464"/>
      <c r="BZ30" s="464"/>
      <c r="CA30" s="464"/>
      <c r="CB30" s="464"/>
      <c r="CC30" s="464"/>
      <c r="CD30" s="464"/>
      <c r="CE30" s="464"/>
      <c r="CF30" s="464"/>
      <c r="CG30" s="464"/>
      <c r="CH30" s="464"/>
      <c r="CI30" s="464"/>
      <c r="CJ30" s="464"/>
      <c r="CK30" s="464"/>
      <c r="CL30" s="464"/>
      <c r="CM30" s="464"/>
      <c r="CN30" s="464"/>
      <c r="CO30" s="464"/>
      <c r="CP30" s="464"/>
      <c r="CQ30" s="464"/>
      <c r="CR30" s="464"/>
      <c r="CS30" s="464"/>
      <c r="CT30" s="464"/>
      <c r="CU30" s="464"/>
      <c r="CV30" s="464"/>
      <c r="CW30" s="464"/>
      <c r="CX30" s="464"/>
      <c r="CY30" s="464"/>
      <c r="CZ30" s="464"/>
      <c r="DA30" s="464"/>
      <c r="DB30" s="464"/>
      <c r="DC30" s="464"/>
      <c r="DD30" s="464"/>
      <c r="DE30" s="464"/>
      <c r="DF30" s="464"/>
      <c r="DG30" s="464"/>
      <c r="DH30" s="464"/>
      <c r="DI30" s="464"/>
      <c r="DJ30" s="464"/>
      <c r="DK30" s="464"/>
      <c r="DL30" s="464"/>
      <c r="DM30" s="464"/>
      <c r="DN30" s="464"/>
      <c r="DO30" s="464"/>
      <c r="DP30" s="464"/>
      <c r="DQ30" s="464"/>
      <c r="DR30" s="464"/>
      <c r="DS30" s="464"/>
      <c r="DT30" s="464"/>
      <c r="DU30" s="464"/>
      <c r="DV30" s="464"/>
      <c r="DW30" s="464"/>
      <c r="DX30" s="464"/>
      <c r="DY30" s="464"/>
      <c r="DZ30" s="464"/>
      <c r="EA30" s="464"/>
      <c r="EB30" s="464"/>
      <c r="EC30" s="464"/>
      <c r="ED30" s="464"/>
      <c r="EE30" s="464"/>
      <c r="EF30" s="464"/>
      <c r="EG30" s="464"/>
      <c r="EH30" s="464"/>
      <c r="EI30" s="464"/>
      <c r="EJ30" s="464"/>
      <c r="EK30" s="464"/>
      <c r="EL30" s="464"/>
      <c r="EM30" s="464"/>
      <c r="EN30" s="464"/>
      <c r="EO30" s="464"/>
      <c r="EP30" s="464"/>
      <c r="EQ30" s="464"/>
      <c r="ER30" s="464"/>
      <c r="ES30" s="464"/>
      <c r="ET30" s="464"/>
      <c r="EU30" s="464"/>
      <c r="EV30" s="464"/>
      <c r="EW30" s="464"/>
      <c r="EX30" s="464"/>
      <c r="EY30" s="464"/>
      <c r="EZ30" s="464"/>
      <c r="FA30" s="464"/>
      <c r="FB30" s="464"/>
      <c r="FC30" s="464"/>
      <c r="FD30" s="464"/>
      <c r="FE30" s="464"/>
      <c r="FF30" s="464"/>
      <c r="FG30" s="301"/>
      <c r="FH30" s="301"/>
      <c r="FI30" s="301"/>
      <c r="FJ30" s="301"/>
      <c r="FK30" s="301"/>
      <c r="FL30" s="301"/>
      <c r="FM30" s="301"/>
      <c r="FN30" s="301"/>
    </row>
    <row r="31" spans="2:170" x14ac:dyDescent="0.25">
      <c r="B31" s="984"/>
      <c r="C31" s="551">
        <f t="shared" si="37"/>
        <v>21</v>
      </c>
      <c r="D31" s="553" t="s">
        <v>388</v>
      </c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741"/>
      <c r="R31" s="464"/>
      <c r="S31" s="464"/>
      <c r="T31" s="464"/>
      <c r="U31" s="568"/>
      <c r="V31" s="568"/>
      <c r="W31" s="464"/>
      <c r="X31" s="464"/>
      <c r="Y31" s="464"/>
      <c r="Z31" s="464"/>
      <c r="AA31" s="464"/>
      <c r="AB31" s="464"/>
      <c r="AC31" s="464"/>
      <c r="AD31" s="586"/>
      <c r="AE31" s="586"/>
      <c r="AF31" s="464"/>
      <c r="AG31" s="464"/>
      <c r="AH31" s="464"/>
      <c r="AI31" s="464"/>
      <c r="AJ31" s="464"/>
      <c r="AK31" s="464"/>
      <c r="AL31" s="464"/>
      <c r="AM31" s="464"/>
      <c r="AN31" s="464"/>
      <c r="AO31" s="464"/>
      <c r="AP31" s="464"/>
      <c r="AQ31" s="464"/>
      <c r="AR31" s="464"/>
      <c r="AS31" s="464"/>
      <c r="AT31" s="464"/>
      <c r="AU31" s="464"/>
      <c r="AV31" s="463"/>
      <c r="AW31" s="464"/>
      <c r="AX31" s="464"/>
      <c r="AY31" s="464"/>
      <c r="AZ31" s="464"/>
      <c r="BA31" s="464"/>
      <c r="BB31" s="464"/>
      <c r="BC31" s="464"/>
      <c r="BD31" s="464"/>
      <c r="BE31" s="464"/>
      <c r="BF31" s="464"/>
      <c r="BG31" s="464"/>
      <c r="BH31" s="464"/>
      <c r="BI31" s="464"/>
      <c r="BJ31" s="464"/>
      <c r="BK31" s="464"/>
      <c r="BL31" s="464"/>
      <c r="BM31" s="464"/>
      <c r="BN31" s="464"/>
      <c r="BO31" s="464"/>
      <c r="BP31" s="464"/>
      <c r="BQ31" s="464"/>
      <c r="BR31" s="464"/>
      <c r="BS31" s="464"/>
      <c r="BT31" s="464"/>
      <c r="BU31" s="464"/>
      <c r="BV31" s="464"/>
      <c r="BW31" s="464"/>
      <c r="BX31" s="464"/>
      <c r="BY31" s="464"/>
      <c r="BZ31" s="464"/>
      <c r="CA31" s="464"/>
      <c r="CB31" s="464"/>
      <c r="CC31" s="464"/>
      <c r="CD31" s="464"/>
      <c r="CE31" s="464"/>
      <c r="CF31" s="464"/>
      <c r="CG31" s="464"/>
      <c r="CH31" s="464"/>
      <c r="CI31" s="464"/>
      <c r="CJ31" s="464"/>
      <c r="CK31" s="464"/>
      <c r="CL31" s="464"/>
      <c r="CM31" s="464"/>
      <c r="CN31" s="464"/>
      <c r="CO31" s="464"/>
      <c r="CP31" s="464"/>
      <c r="CQ31" s="464"/>
      <c r="CR31" s="464"/>
      <c r="CS31" s="464"/>
      <c r="CT31" s="464"/>
      <c r="CU31" s="464"/>
      <c r="CV31" s="464"/>
      <c r="CW31" s="464"/>
      <c r="CX31" s="464"/>
      <c r="CY31" s="464"/>
      <c r="CZ31" s="464"/>
      <c r="DA31" s="464"/>
      <c r="DB31" s="464"/>
      <c r="DC31" s="464"/>
      <c r="DD31" s="464"/>
      <c r="DE31" s="464"/>
      <c r="DF31" s="464"/>
      <c r="DG31" s="464"/>
      <c r="DH31" s="464"/>
      <c r="DI31" s="464"/>
      <c r="DJ31" s="464"/>
      <c r="DK31" s="464"/>
      <c r="DL31" s="464"/>
      <c r="DM31" s="464"/>
      <c r="DN31" s="464"/>
      <c r="DO31" s="464"/>
      <c r="DP31" s="464"/>
      <c r="DQ31" s="464"/>
      <c r="DR31" s="464"/>
      <c r="DS31" s="464"/>
      <c r="DT31" s="464"/>
      <c r="DU31" s="464"/>
      <c r="DV31" s="464"/>
      <c r="DW31" s="464"/>
      <c r="DX31" s="464"/>
      <c r="DY31" s="464"/>
      <c r="DZ31" s="464"/>
      <c r="EA31" s="464"/>
      <c r="EB31" s="464"/>
      <c r="EC31" s="464"/>
      <c r="ED31" s="464"/>
      <c r="EE31" s="464"/>
      <c r="EF31" s="464"/>
      <c r="EG31" s="464"/>
      <c r="EH31" s="464"/>
      <c r="EI31" s="464"/>
      <c r="EJ31" s="464"/>
      <c r="EK31" s="464"/>
      <c r="EL31" s="464"/>
      <c r="EM31" s="464"/>
      <c r="EN31" s="464"/>
      <c r="EO31" s="464"/>
      <c r="EP31" s="464"/>
      <c r="EQ31" s="464"/>
      <c r="ER31" s="464"/>
      <c r="ES31" s="464"/>
      <c r="ET31" s="464"/>
      <c r="EU31" s="464"/>
      <c r="EV31" s="464"/>
      <c r="EW31" s="464"/>
      <c r="EX31" s="464"/>
      <c r="EY31" s="464"/>
      <c r="EZ31" s="464"/>
      <c r="FA31" s="464"/>
      <c r="FB31" s="464"/>
      <c r="FC31" s="464"/>
      <c r="FD31" s="464"/>
      <c r="FE31" s="464"/>
      <c r="FF31" s="464"/>
      <c r="FG31" s="301"/>
      <c r="FH31" s="301"/>
      <c r="FI31" s="301"/>
      <c r="FJ31" s="301"/>
      <c r="FK31" s="301"/>
      <c r="FL31" s="301"/>
      <c r="FM31" s="301"/>
      <c r="FN31" s="301"/>
    </row>
    <row r="32" spans="2:170" s="491" customFormat="1" x14ac:dyDescent="0.25">
      <c r="B32" s="984"/>
      <c r="C32" s="591">
        <f>C31+1</f>
        <v>22</v>
      </c>
      <c r="D32" s="592" t="s">
        <v>219</v>
      </c>
      <c r="E32" s="593"/>
      <c r="F32" s="593"/>
      <c r="G32" s="593"/>
      <c r="H32" s="593"/>
      <c r="I32" s="593"/>
      <c r="J32" s="593"/>
      <c r="K32" s="593"/>
      <c r="L32" s="593"/>
      <c r="M32" s="593"/>
      <c r="N32" s="593"/>
      <c r="P32" s="742"/>
      <c r="Q32" s="325"/>
      <c r="R32" s="593"/>
      <c r="S32" s="593"/>
      <c r="T32" s="593"/>
      <c r="U32" s="600"/>
      <c r="V32" s="593"/>
      <c r="W32" s="593"/>
      <c r="X32" s="593"/>
      <c r="Y32" s="593"/>
      <c r="Z32" s="593"/>
      <c r="AA32" s="593"/>
      <c r="AB32" s="593"/>
      <c r="AC32" s="593"/>
      <c r="AD32" s="599"/>
      <c r="AE32" s="593"/>
      <c r="AF32" s="593"/>
      <c r="AG32" s="593"/>
      <c r="AH32" s="593"/>
      <c r="AI32" s="593"/>
      <c r="AJ32" s="593"/>
      <c r="AK32" s="593"/>
      <c r="AL32" s="593"/>
      <c r="AM32" s="593"/>
      <c r="AN32" s="593"/>
      <c r="AO32" s="593"/>
      <c r="AP32" s="593"/>
      <c r="AQ32" s="593"/>
      <c r="AR32" s="593"/>
      <c r="AS32" s="593"/>
      <c r="AT32" s="593"/>
      <c r="AU32" s="593"/>
      <c r="AV32" s="594"/>
      <c r="AW32" s="593"/>
      <c r="AX32" s="593"/>
      <c r="AY32" s="593"/>
      <c r="AZ32" s="593"/>
      <c r="BA32" s="593"/>
      <c r="BB32" s="593"/>
      <c r="BC32" s="593"/>
      <c r="BD32" s="593"/>
      <c r="BE32" s="593"/>
      <c r="BF32" s="593"/>
      <c r="BG32" s="593"/>
      <c r="BH32" s="593"/>
      <c r="BI32" s="593"/>
      <c r="BJ32" s="593"/>
      <c r="BK32" s="593"/>
      <c r="BL32" s="593"/>
      <c r="BM32" s="593"/>
      <c r="BN32" s="593"/>
      <c r="BO32" s="593"/>
      <c r="BP32" s="593"/>
      <c r="BQ32" s="593"/>
      <c r="BR32" s="593"/>
      <c r="BS32" s="593"/>
      <c r="BT32" s="593"/>
      <c r="BU32" s="593"/>
      <c r="BV32" s="593"/>
      <c r="BW32" s="593"/>
      <c r="BX32" s="593"/>
      <c r="BY32" s="593"/>
      <c r="BZ32" s="593"/>
      <c r="CA32" s="593"/>
      <c r="CB32" s="593"/>
      <c r="CC32" s="593"/>
      <c r="CD32" s="593"/>
      <c r="CE32" s="593"/>
      <c r="CF32" s="593"/>
      <c r="CG32" s="593"/>
      <c r="CH32" s="593"/>
      <c r="CI32" s="593"/>
      <c r="CJ32" s="593"/>
      <c r="CK32" s="593"/>
      <c r="CL32" s="593"/>
      <c r="CM32" s="593"/>
      <c r="CN32" s="593"/>
      <c r="CO32" s="593"/>
      <c r="CP32" s="593"/>
      <c r="CQ32" s="593"/>
      <c r="CR32" s="593"/>
      <c r="CS32" s="593"/>
      <c r="CT32" s="593"/>
      <c r="CU32" s="593"/>
      <c r="CV32" s="593"/>
      <c r="CW32" s="593"/>
      <c r="CX32" s="593"/>
      <c r="CY32" s="593"/>
      <c r="CZ32" s="593"/>
      <c r="DA32" s="593"/>
      <c r="DB32" s="593"/>
      <c r="DC32" s="593"/>
      <c r="DD32" s="593"/>
      <c r="DE32" s="593"/>
      <c r="DF32" s="593"/>
      <c r="DG32" s="593"/>
      <c r="DH32" s="593"/>
      <c r="DI32" s="593"/>
      <c r="DJ32" s="593"/>
      <c r="DK32" s="593"/>
      <c r="DL32" s="593"/>
      <c r="DM32" s="593"/>
      <c r="DN32" s="593"/>
      <c r="DO32" s="593"/>
      <c r="DP32" s="593"/>
      <c r="DQ32" s="593"/>
      <c r="DR32" s="593"/>
      <c r="DS32" s="593"/>
      <c r="DT32" s="593"/>
      <c r="DU32" s="593"/>
      <c r="DV32" s="593"/>
      <c r="DW32" s="593"/>
      <c r="DX32" s="593"/>
      <c r="DY32" s="593"/>
      <c r="DZ32" s="593"/>
      <c r="EA32" s="593"/>
      <c r="EB32" s="593"/>
      <c r="EC32" s="593"/>
      <c r="ED32" s="593"/>
      <c r="EE32" s="593"/>
      <c r="EF32" s="593"/>
      <c r="EG32" s="593"/>
      <c r="EH32" s="593"/>
      <c r="EI32" s="593"/>
      <c r="EJ32" s="593"/>
      <c r="EK32" s="593"/>
      <c r="EL32" s="593"/>
      <c r="EM32" s="593"/>
      <c r="EN32" s="593"/>
      <c r="EO32" s="593"/>
      <c r="EP32" s="593"/>
      <c r="EQ32" s="593"/>
      <c r="ER32" s="593"/>
      <c r="ES32" s="593"/>
      <c r="ET32" s="593"/>
      <c r="EU32" s="593"/>
      <c r="EV32" s="593"/>
      <c r="EW32" s="593"/>
      <c r="EX32" s="593"/>
      <c r="EY32" s="593"/>
      <c r="EZ32" s="593"/>
      <c r="FA32" s="593"/>
      <c r="FB32" s="593"/>
      <c r="FC32" s="593"/>
      <c r="FD32" s="593"/>
      <c r="FE32" s="593"/>
      <c r="FF32" s="593"/>
      <c r="FG32" s="593"/>
      <c r="FH32" s="593"/>
      <c r="FI32" s="593"/>
      <c r="FJ32" s="593"/>
      <c r="FK32" s="593"/>
      <c r="FL32" s="593"/>
      <c r="FM32" s="593"/>
      <c r="FN32" s="593"/>
    </row>
    <row r="33" spans="2:170" x14ac:dyDescent="0.25">
      <c r="B33" s="984"/>
      <c r="C33" s="551">
        <f t="shared" si="37"/>
        <v>23</v>
      </c>
      <c r="D33" s="553" t="s">
        <v>213</v>
      </c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566"/>
      <c r="R33" s="464"/>
      <c r="S33" s="464"/>
      <c r="T33" s="464"/>
      <c r="U33" s="464"/>
      <c r="V33" s="568"/>
      <c r="W33" s="464"/>
      <c r="X33" s="464"/>
      <c r="Y33" s="464"/>
      <c r="Z33" s="464"/>
      <c r="AA33" s="464"/>
      <c r="AB33" s="464"/>
      <c r="AC33" s="464"/>
      <c r="AD33" s="464"/>
      <c r="AE33" s="586"/>
      <c r="AF33" s="464"/>
      <c r="AG33" s="464"/>
      <c r="AH33" s="464"/>
      <c r="AI33" s="464"/>
      <c r="AJ33" s="464"/>
      <c r="AK33" s="464"/>
      <c r="AL33" s="464"/>
      <c r="AM33" s="464"/>
      <c r="AN33" s="464"/>
      <c r="AO33" s="464"/>
      <c r="AP33" s="464"/>
      <c r="AQ33" s="464"/>
      <c r="AR33" s="464"/>
      <c r="AS33" s="464"/>
      <c r="AT33" s="464"/>
      <c r="AU33" s="464"/>
      <c r="AV33" s="463"/>
      <c r="AW33" s="464"/>
      <c r="AX33" s="464"/>
      <c r="AY33" s="464"/>
      <c r="AZ33" s="464"/>
      <c r="BA33" s="464"/>
      <c r="BB33" s="464"/>
      <c r="BC33" s="464"/>
      <c r="BD33" s="464"/>
      <c r="BE33" s="464"/>
      <c r="BF33" s="464"/>
      <c r="BG33" s="464"/>
      <c r="BH33" s="464"/>
      <c r="BI33" s="464"/>
      <c r="BJ33" s="464"/>
      <c r="BK33" s="464"/>
      <c r="BL33" s="464"/>
      <c r="BM33" s="464"/>
      <c r="BN33" s="464"/>
      <c r="BO33" s="464"/>
      <c r="BP33" s="464"/>
      <c r="BQ33" s="464"/>
      <c r="BR33" s="464"/>
      <c r="BS33" s="464"/>
      <c r="BT33" s="464"/>
      <c r="BU33" s="464"/>
      <c r="BV33" s="464"/>
      <c r="BW33" s="464"/>
      <c r="BX33" s="464"/>
      <c r="BY33" s="464"/>
      <c r="BZ33" s="464"/>
      <c r="CA33" s="464"/>
      <c r="CB33" s="464"/>
      <c r="CC33" s="464"/>
      <c r="CD33" s="464"/>
      <c r="CE33" s="464"/>
      <c r="CF33" s="464"/>
      <c r="CG33" s="464"/>
      <c r="CH33" s="464"/>
      <c r="CI33" s="464"/>
      <c r="CJ33" s="464"/>
      <c r="CK33" s="464"/>
      <c r="CL33" s="464"/>
      <c r="CM33" s="464"/>
      <c r="CN33" s="464"/>
      <c r="CO33" s="464"/>
      <c r="CP33" s="464"/>
      <c r="CQ33" s="464"/>
      <c r="CR33" s="464"/>
      <c r="CS33" s="464"/>
      <c r="CT33" s="464"/>
      <c r="CU33" s="464"/>
      <c r="CV33" s="464"/>
      <c r="CW33" s="464"/>
      <c r="CX33" s="464"/>
      <c r="CY33" s="464"/>
      <c r="CZ33" s="464"/>
      <c r="DA33" s="464"/>
      <c r="DB33" s="464"/>
      <c r="DC33" s="464"/>
      <c r="DD33" s="464"/>
      <c r="DE33" s="464"/>
      <c r="DF33" s="464"/>
      <c r="DG33" s="464"/>
      <c r="DH33" s="464"/>
      <c r="DI33" s="464"/>
      <c r="DJ33" s="464"/>
      <c r="DK33" s="464"/>
      <c r="DL33" s="464"/>
      <c r="DM33" s="464"/>
      <c r="DN33" s="464"/>
      <c r="DO33" s="464"/>
      <c r="DP33" s="464"/>
      <c r="DQ33" s="464"/>
      <c r="DR33" s="464"/>
      <c r="DS33" s="464"/>
      <c r="DT33" s="464"/>
      <c r="DU33" s="464"/>
      <c r="DV33" s="464"/>
      <c r="DW33" s="464"/>
      <c r="DX33" s="464"/>
      <c r="DY33" s="464"/>
      <c r="DZ33" s="464"/>
      <c r="EA33" s="464"/>
      <c r="EB33" s="464"/>
      <c r="EC33" s="464"/>
      <c r="ED33" s="464"/>
      <c r="EE33" s="464"/>
      <c r="EF33" s="464"/>
      <c r="EG33" s="464"/>
      <c r="EH33" s="464"/>
      <c r="EI33" s="464"/>
      <c r="EJ33" s="464"/>
      <c r="EK33" s="464"/>
      <c r="EL33" s="464"/>
      <c r="EM33" s="464"/>
      <c r="EN33" s="464"/>
      <c r="EO33" s="464"/>
      <c r="EP33" s="464"/>
      <c r="EQ33" s="464"/>
      <c r="ER33" s="464"/>
      <c r="ES33" s="464"/>
      <c r="ET33" s="464"/>
      <c r="EU33" s="464"/>
      <c r="EV33" s="464"/>
      <c r="EW33" s="464"/>
      <c r="EX33" s="464"/>
      <c r="EY33" s="464"/>
      <c r="EZ33" s="464"/>
      <c r="FA33" s="464"/>
      <c r="FB33" s="464"/>
      <c r="FC33" s="464"/>
      <c r="FD33" s="464"/>
      <c r="FE33" s="464"/>
      <c r="FF33" s="464"/>
      <c r="FG33" s="301"/>
      <c r="FH33" s="301"/>
      <c r="FI33" s="301"/>
      <c r="FJ33" s="301"/>
      <c r="FK33" s="301"/>
      <c r="FL33" s="301"/>
      <c r="FM33" s="301"/>
      <c r="FN33" s="301"/>
    </row>
    <row r="34" spans="2:170" x14ac:dyDescent="0.25">
      <c r="B34" s="984"/>
      <c r="C34" s="551">
        <f t="shared" si="37"/>
        <v>24</v>
      </c>
      <c r="D34" s="553" t="s">
        <v>389</v>
      </c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99"/>
      <c r="P34" s="464"/>
      <c r="Q34" s="566"/>
      <c r="R34" s="566"/>
      <c r="S34" s="464"/>
      <c r="T34" s="464"/>
      <c r="U34" s="464"/>
      <c r="V34" s="582"/>
      <c r="W34" s="568"/>
      <c r="X34" s="581"/>
      <c r="Y34" s="464"/>
      <c r="Z34" s="464"/>
      <c r="AA34" s="464"/>
      <c r="AB34" s="464"/>
      <c r="AC34" s="464"/>
      <c r="AD34" s="464"/>
      <c r="AE34" s="586"/>
      <c r="AF34" s="586"/>
      <c r="AG34" s="464"/>
      <c r="AH34" s="464"/>
      <c r="AI34" s="464"/>
      <c r="AJ34" s="464"/>
      <c r="AK34" s="464"/>
      <c r="AL34" s="464"/>
      <c r="AM34" s="464"/>
      <c r="AN34" s="464"/>
      <c r="AO34" s="464"/>
      <c r="AP34" s="464"/>
      <c r="AQ34" s="464"/>
      <c r="AR34" s="464"/>
      <c r="AS34" s="464"/>
      <c r="AT34" s="464"/>
      <c r="AU34" s="464"/>
      <c r="AV34" s="463"/>
      <c r="AW34" s="464"/>
      <c r="AX34" s="464"/>
      <c r="AY34" s="464"/>
      <c r="AZ34" s="464"/>
      <c r="BA34" s="464"/>
      <c r="BB34" s="464"/>
      <c r="BC34" s="464"/>
      <c r="BD34" s="464"/>
      <c r="BE34" s="464"/>
      <c r="BF34" s="464"/>
      <c r="BG34" s="464"/>
      <c r="BH34" s="464"/>
      <c r="BI34" s="464"/>
      <c r="BJ34" s="464"/>
      <c r="BK34" s="464"/>
      <c r="BL34" s="464"/>
      <c r="BM34" s="464"/>
      <c r="BN34" s="464"/>
      <c r="BO34" s="464"/>
      <c r="BP34" s="464"/>
      <c r="BQ34" s="464"/>
      <c r="BR34" s="464"/>
      <c r="BS34" s="464"/>
      <c r="BT34" s="464"/>
      <c r="BU34" s="464"/>
      <c r="BV34" s="464"/>
      <c r="BW34" s="464"/>
      <c r="BX34" s="464"/>
      <c r="BY34" s="464"/>
      <c r="BZ34" s="464"/>
      <c r="CA34" s="464"/>
      <c r="CB34" s="464"/>
      <c r="CC34" s="464"/>
      <c r="CD34" s="464"/>
      <c r="CE34" s="464"/>
      <c r="CF34" s="464"/>
      <c r="CG34" s="464"/>
      <c r="CH34" s="464"/>
      <c r="CI34" s="464"/>
      <c r="CJ34" s="464"/>
      <c r="CK34" s="464"/>
      <c r="CL34" s="464"/>
      <c r="CM34" s="464"/>
      <c r="CN34" s="464"/>
      <c r="CO34" s="464"/>
      <c r="CP34" s="464"/>
      <c r="CQ34" s="464"/>
      <c r="CR34" s="464"/>
      <c r="CS34" s="464"/>
      <c r="CT34" s="464"/>
      <c r="CU34" s="464"/>
      <c r="CV34" s="464"/>
      <c r="CW34" s="464"/>
      <c r="CX34" s="464"/>
      <c r="CY34" s="464"/>
      <c r="CZ34" s="464"/>
      <c r="DA34" s="464"/>
      <c r="DB34" s="464"/>
      <c r="DC34" s="464"/>
      <c r="DD34" s="464"/>
      <c r="DE34" s="464"/>
      <c r="DF34" s="464"/>
      <c r="DG34" s="464"/>
      <c r="DH34" s="464"/>
      <c r="DI34" s="464"/>
      <c r="DJ34" s="464"/>
      <c r="DK34" s="464"/>
      <c r="DL34" s="464"/>
      <c r="DM34" s="464"/>
      <c r="DN34" s="464"/>
      <c r="DO34" s="464"/>
      <c r="DP34" s="464"/>
      <c r="DQ34" s="464"/>
      <c r="DR34" s="464"/>
      <c r="DS34" s="464"/>
      <c r="DT34" s="464"/>
      <c r="DU34" s="464"/>
      <c r="DV34" s="464"/>
      <c r="DW34" s="464"/>
      <c r="DX34" s="464"/>
      <c r="DY34" s="464"/>
      <c r="DZ34" s="464"/>
      <c r="EA34" s="464"/>
      <c r="EB34" s="464"/>
      <c r="EC34" s="464"/>
      <c r="ED34" s="464"/>
      <c r="EE34" s="464"/>
      <c r="EF34" s="464"/>
      <c r="EG34" s="464"/>
      <c r="EH34" s="464"/>
      <c r="EI34" s="464"/>
      <c r="EJ34" s="464"/>
      <c r="EK34" s="464"/>
      <c r="EL34" s="464"/>
      <c r="EM34" s="464"/>
      <c r="EN34" s="464"/>
      <c r="EO34" s="464"/>
      <c r="EP34" s="464"/>
      <c r="EQ34" s="464"/>
      <c r="ER34" s="464"/>
      <c r="ES34" s="464"/>
      <c r="ET34" s="464"/>
      <c r="EU34" s="464"/>
      <c r="EV34" s="464"/>
      <c r="EW34" s="464"/>
      <c r="EX34" s="464"/>
      <c r="EY34" s="464"/>
      <c r="EZ34" s="464"/>
      <c r="FA34" s="464"/>
      <c r="FB34" s="464"/>
      <c r="FC34" s="464"/>
      <c r="FD34" s="464"/>
      <c r="FE34" s="464"/>
      <c r="FF34" s="464"/>
      <c r="FG34" s="301"/>
      <c r="FH34" s="301"/>
      <c r="FI34" s="301"/>
      <c r="FJ34" s="301"/>
      <c r="FK34" s="301"/>
      <c r="FL34" s="301"/>
      <c r="FM34" s="301"/>
      <c r="FN34" s="301"/>
    </row>
    <row r="35" spans="2:170" x14ac:dyDescent="0.25">
      <c r="B35" s="984"/>
      <c r="C35" s="551">
        <f t="shared" ref="C35:C38" si="38">C34+1</f>
        <v>25</v>
      </c>
      <c r="D35" s="554" t="s">
        <v>390</v>
      </c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112"/>
      <c r="R35" s="464"/>
      <c r="S35" s="566"/>
      <c r="T35" s="464"/>
      <c r="U35" s="464"/>
      <c r="V35" s="463"/>
      <c r="W35" s="464"/>
      <c r="X35" s="582"/>
      <c r="Y35" s="464"/>
      <c r="Z35" s="464"/>
      <c r="AA35" s="464"/>
      <c r="AB35" s="464"/>
      <c r="AC35" s="464"/>
      <c r="AD35" s="464"/>
      <c r="AE35" s="464"/>
      <c r="AF35" s="464"/>
      <c r="AG35" s="586"/>
      <c r="AH35" s="464"/>
      <c r="AI35" s="464"/>
      <c r="AJ35" s="464"/>
      <c r="AK35" s="464"/>
      <c r="AL35" s="464"/>
      <c r="AM35" s="464"/>
      <c r="AN35" s="464"/>
      <c r="AO35" s="464"/>
      <c r="AP35" s="464"/>
      <c r="AQ35" s="464"/>
      <c r="AR35" s="464"/>
      <c r="AS35" s="464"/>
      <c r="AT35" s="464"/>
      <c r="AU35" s="464"/>
      <c r="AV35" s="463"/>
      <c r="AW35" s="464"/>
      <c r="AX35" s="464"/>
      <c r="AY35" s="464"/>
      <c r="AZ35" s="464"/>
      <c r="BA35" s="464"/>
      <c r="BB35" s="464"/>
      <c r="BC35" s="464"/>
      <c r="BD35" s="464"/>
      <c r="BE35" s="464"/>
      <c r="BF35" s="464"/>
      <c r="BG35" s="464"/>
      <c r="BH35" s="464"/>
      <c r="BI35" s="464"/>
      <c r="BJ35" s="464"/>
      <c r="BK35" s="464"/>
      <c r="BL35" s="464"/>
      <c r="BM35" s="464"/>
      <c r="BN35" s="464"/>
      <c r="BO35" s="464"/>
      <c r="BP35" s="464"/>
      <c r="BQ35" s="464"/>
      <c r="BR35" s="464"/>
      <c r="BS35" s="464"/>
      <c r="BT35" s="464"/>
      <c r="BU35" s="464"/>
      <c r="BV35" s="464"/>
      <c r="BW35" s="464"/>
      <c r="BX35" s="464"/>
      <c r="BY35" s="464"/>
      <c r="BZ35" s="464"/>
      <c r="CA35" s="464"/>
      <c r="CB35" s="464"/>
      <c r="CC35" s="464"/>
      <c r="CD35" s="464"/>
      <c r="CE35" s="464"/>
      <c r="CF35" s="464"/>
      <c r="CG35" s="464"/>
      <c r="CH35" s="464"/>
      <c r="CI35" s="464"/>
      <c r="CJ35" s="464"/>
      <c r="CK35" s="464"/>
      <c r="CL35" s="464"/>
      <c r="CM35" s="464"/>
      <c r="CN35" s="464"/>
      <c r="CO35" s="464"/>
      <c r="CP35" s="464"/>
      <c r="CQ35" s="464"/>
      <c r="CR35" s="464"/>
      <c r="CS35" s="464"/>
      <c r="CT35" s="464"/>
      <c r="CU35" s="464"/>
      <c r="CV35" s="464"/>
      <c r="CW35" s="464"/>
      <c r="CX35" s="464"/>
      <c r="CY35" s="464"/>
      <c r="CZ35" s="464"/>
      <c r="DA35" s="464"/>
      <c r="DB35" s="464"/>
      <c r="DC35" s="464"/>
      <c r="DD35" s="464"/>
      <c r="DE35" s="464"/>
      <c r="DF35" s="464"/>
      <c r="DG35" s="464"/>
      <c r="DH35" s="464"/>
      <c r="DI35" s="464"/>
      <c r="DJ35" s="464"/>
      <c r="DK35" s="464"/>
      <c r="DL35" s="464"/>
      <c r="DM35" s="464"/>
      <c r="DN35" s="464"/>
      <c r="DO35" s="464"/>
      <c r="DP35" s="464"/>
      <c r="DQ35" s="464"/>
      <c r="DR35" s="464"/>
      <c r="DS35" s="464"/>
      <c r="DT35" s="464"/>
      <c r="DU35" s="464"/>
      <c r="DV35" s="464"/>
      <c r="DW35" s="464"/>
      <c r="DX35" s="464"/>
      <c r="DY35" s="464"/>
      <c r="DZ35" s="464"/>
      <c r="EA35" s="464"/>
      <c r="EB35" s="464"/>
      <c r="EC35" s="464"/>
      <c r="ED35" s="464"/>
      <c r="EE35" s="464"/>
      <c r="EF35" s="464"/>
      <c r="EG35" s="464"/>
      <c r="EH35" s="464"/>
      <c r="EI35" s="464"/>
      <c r="EJ35" s="464"/>
      <c r="EK35" s="464"/>
      <c r="EL35" s="464"/>
      <c r="EM35" s="464"/>
      <c r="EN35" s="464"/>
      <c r="EO35" s="464"/>
      <c r="EP35" s="464"/>
      <c r="EQ35" s="464"/>
      <c r="ER35" s="464"/>
      <c r="ES35" s="464"/>
      <c r="ET35" s="464"/>
      <c r="EU35" s="464"/>
      <c r="EV35" s="464"/>
      <c r="EW35" s="464"/>
      <c r="EX35" s="464"/>
      <c r="EY35" s="464"/>
      <c r="EZ35" s="464"/>
      <c r="FA35" s="464"/>
      <c r="FB35" s="464"/>
      <c r="FC35" s="464"/>
      <c r="FD35" s="464"/>
      <c r="FE35" s="464"/>
      <c r="FF35" s="464"/>
      <c r="FG35" s="301"/>
      <c r="FH35" s="301"/>
      <c r="FI35" s="301"/>
      <c r="FJ35" s="301"/>
      <c r="FK35" s="301"/>
      <c r="FL35" s="301"/>
      <c r="FM35" s="301"/>
      <c r="FN35" s="301"/>
    </row>
    <row r="36" spans="2:170" x14ac:dyDescent="0.25">
      <c r="B36" s="984"/>
      <c r="C36" s="551">
        <f t="shared" si="38"/>
        <v>26</v>
      </c>
      <c r="D36" s="553" t="s">
        <v>391</v>
      </c>
      <c r="E36" s="464"/>
      <c r="F36" s="464"/>
      <c r="G36" s="464"/>
      <c r="H36" s="464"/>
      <c r="I36" s="464"/>
      <c r="J36" s="464"/>
      <c r="K36" s="464"/>
      <c r="L36" s="464"/>
      <c r="M36" s="464"/>
      <c r="N36" s="464"/>
      <c r="O36" s="464"/>
      <c r="P36" s="464"/>
      <c r="Q36" s="112"/>
      <c r="R36" s="464"/>
      <c r="S36" s="566"/>
      <c r="T36" s="566"/>
      <c r="U36" s="566"/>
      <c r="V36" s="566"/>
      <c r="W36" s="464"/>
      <c r="X36" s="568"/>
      <c r="Y36" s="568"/>
      <c r="Z36" s="568"/>
      <c r="AA36" s="568"/>
      <c r="AB36" s="464"/>
      <c r="AC36" s="464"/>
      <c r="AD36" s="464"/>
      <c r="AE36" s="464"/>
      <c r="AF36" s="464"/>
      <c r="AG36" s="586"/>
      <c r="AH36" s="586"/>
      <c r="AI36" s="586"/>
      <c r="AJ36" s="586"/>
      <c r="AK36" s="464"/>
      <c r="AL36" s="464"/>
      <c r="AM36" s="464"/>
      <c r="AN36" s="464"/>
      <c r="AO36" s="464"/>
      <c r="AP36" s="464"/>
      <c r="AQ36" s="464"/>
      <c r="AR36" s="464"/>
      <c r="AS36" s="464"/>
      <c r="AT36" s="464"/>
      <c r="AU36" s="464"/>
      <c r="AV36" s="463"/>
      <c r="AW36" s="464"/>
      <c r="AX36" s="464"/>
      <c r="AY36" s="464"/>
      <c r="AZ36" s="464"/>
      <c r="BA36" s="464"/>
      <c r="BB36" s="464"/>
      <c r="BC36" s="464"/>
      <c r="BD36" s="464"/>
      <c r="BE36" s="464"/>
      <c r="BF36" s="464"/>
      <c r="BG36" s="464"/>
      <c r="BH36" s="464"/>
      <c r="BI36" s="464"/>
      <c r="BJ36" s="464"/>
      <c r="BK36" s="464"/>
      <c r="BL36" s="464"/>
      <c r="BM36" s="464"/>
      <c r="BN36" s="464"/>
      <c r="BO36" s="464"/>
      <c r="BP36" s="464"/>
      <c r="BQ36" s="464"/>
      <c r="BR36" s="464"/>
      <c r="BS36" s="464"/>
      <c r="BT36" s="464"/>
      <c r="BU36" s="464"/>
      <c r="BV36" s="464"/>
      <c r="BW36" s="464"/>
      <c r="BX36" s="464"/>
      <c r="BY36" s="464"/>
      <c r="BZ36" s="464"/>
      <c r="CA36" s="464"/>
      <c r="CB36" s="464"/>
      <c r="CC36" s="464"/>
      <c r="CD36" s="464"/>
      <c r="CE36" s="464"/>
      <c r="CF36" s="464"/>
      <c r="CG36" s="464"/>
      <c r="CH36" s="464"/>
      <c r="CI36" s="464"/>
      <c r="CJ36" s="464"/>
      <c r="CK36" s="464"/>
      <c r="CL36" s="464"/>
      <c r="CM36" s="464"/>
      <c r="CN36" s="464"/>
      <c r="CO36" s="464"/>
      <c r="CP36" s="464"/>
      <c r="CQ36" s="464"/>
      <c r="CR36" s="464"/>
      <c r="CS36" s="464"/>
      <c r="CT36" s="464"/>
      <c r="CU36" s="464"/>
      <c r="CV36" s="464"/>
      <c r="CW36" s="464"/>
      <c r="CX36" s="464"/>
      <c r="CY36" s="464"/>
      <c r="CZ36" s="464"/>
      <c r="DA36" s="464"/>
      <c r="DB36" s="464"/>
      <c r="DC36" s="464"/>
      <c r="DD36" s="464"/>
      <c r="DE36" s="464"/>
      <c r="DF36" s="464"/>
      <c r="DG36" s="464"/>
      <c r="DH36" s="464"/>
      <c r="DI36" s="464"/>
      <c r="DJ36" s="464"/>
      <c r="DK36" s="464"/>
      <c r="DL36" s="464"/>
      <c r="DM36" s="464"/>
      <c r="DN36" s="464"/>
      <c r="DO36" s="464"/>
      <c r="DP36" s="464"/>
      <c r="DQ36" s="464"/>
      <c r="DR36" s="464"/>
      <c r="DS36" s="464"/>
      <c r="DT36" s="464"/>
      <c r="DU36" s="464"/>
      <c r="DV36" s="464"/>
      <c r="DW36" s="464"/>
      <c r="DX36" s="464"/>
      <c r="DY36" s="464"/>
      <c r="DZ36" s="464"/>
      <c r="EA36" s="464"/>
      <c r="EB36" s="464"/>
      <c r="EC36" s="464"/>
      <c r="ED36" s="464"/>
      <c r="EE36" s="464"/>
      <c r="EF36" s="464"/>
      <c r="EG36" s="464"/>
      <c r="EH36" s="464"/>
      <c r="EI36" s="464"/>
      <c r="EJ36" s="464"/>
      <c r="EK36" s="464"/>
      <c r="EL36" s="464"/>
      <c r="EM36" s="464"/>
      <c r="EN36" s="464"/>
      <c r="EO36" s="464"/>
      <c r="EP36" s="464"/>
      <c r="EQ36" s="464"/>
      <c r="ER36" s="464"/>
      <c r="ES36" s="464"/>
      <c r="ET36" s="464"/>
      <c r="EU36" s="464"/>
      <c r="EV36" s="464"/>
      <c r="EW36" s="464"/>
      <c r="EX36" s="464"/>
      <c r="EY36" s="464"/>
      <c r="EZ36" s="464"/>
      <c r="FA36" s="464"/>
      <c r="FB36" s="464"/>
      <c r="FC36" s="464"/>
      <c r="FD36" s="464"/>
      <c r="FE36" s="464"/>
      <c r="FF36" s="464"/>
      <c r="FG36" s="301"/>
      <c r="FH36" s="301"/>
      <c r="FI36" s="301"/>
      <c r="FJ36" s="301"/>
      <c r="FK36" s="301"/>
      <c r="FL36" s="301"/>
      <c r="FM36" s="301"/>
      <c r="FN36" s="301"/>
    </row>
    <row r="37" spans="2:170" x14ac:dyDescent="0.25">
      <c r="B37" s="984"/>
      <c r="C37" s="551">
        <f t="shared" si="38"/>
        <v>27</v>
      </c>
      <c r="D37" s="553" t="s">
        <v>198</v>
      </c>
      <c r="E37" s="464"/>
      <c r="F37" s="464"/>
      <c r="G37" s="464"/>
      <c r="H37" s="464"/>
      <c r="I37" s="464"/>
      <c r="J37" s="464"/>
      <c r="K37" s="464"/>
      <c r="L37" s="464"/>
      <c r="M37" s="464"/>
      <c r="N37" s="464"/>
      <c r="O37" s="464"/>
      <c r="P37" s="464"/>
      <c r="Q37" s="464"/>
      <c r="R37" s="112"/>
      <c r="S37" s="464"/>
      <c r="T37" s="462"/>
      <c r="U37" s="464"/>
      <c r="V37" s="566"/>
      <c r="W37" s="566"/>
      <c r="X37" s="464"/>
      <c r="Y37" s="464"/>
      <c r="Z37" s="464"/>
      <c r="AA37" s="568"/>
      <c r="AB37" s="568"/>
      <c r="AC37" s="464"/>
      <c r="AD37" s="464"/>
      <c r="AE37" s="464"/>
      <c r="AF37" s="464"/>
      <c r="AG37" s="464"/>
      <c r="AH37" s="464"/>
      <c r="AI37" s="464"/>
      <c r="AJ37" s="586"/>
      <c r="AK37" s="586"/>
      <c r="AL37" s="464"/>
      <c r="AM37" s="464"/>
      <c r="AN37" s="464"/>
      <c r="AO37" s="464"/>
      <c r="AP37" s="464"/>
      <c r="AQ37" s="464"/>
      <c r="AR37" s="464"/>
      <c r="AS37" s="462"/>
      <c r="AT37" s="462"/>
      <c r="AU37" s="464"/>
      <c r="AV37" s="463"/>
      <c r="AW37" s="464"/>
      <c r="AX37" s="464"/>
      <c r="AY37" s="464"/>
      <c r="AZ37" s="464"/>
      <c r="BA37" s="464"/>
      <c r="BB37" s="464"/>
      <c r="BC37" s="464"/>
      <c r="BD37" s="464"/>
      <c r="BE37" s="464"/>
      <c r="BF37" s="464"/>
      <c r="BG37" s="464"/>
      <c r="BH37" s="464"/>
      <c r="BI37" s="464"/>
      <c r="BJ37" s="464"/>
      <c r="BK37" s="464"/>
      <c r="BL37" s="464"/>
      <c r="BM37" s="464"/>
      <c r="BN37" s="464"/>
      <c r="BO37" s="464"/>
      <c r="BP37" s="464"/>
      <c r="BQ37" s="464"/>
      <c r="BR37" s="464"/>
      <c r="BS37" s="464"/>
      <c r="BT37" s="464"/>
      <c r="BU37" s="464"/>
      <c r="BV37" s="464"/>
      <c r="BW37" s="464"/>
      <c r="BX37" s="464"/>
      <c r="BY37" s="464"/>
      <c r="BZ37" s="464"/>
      <c r="CA37" s="464"/>
      <c r="CB37" s="464"/>
      <c r="CC37" s="464"/>
      <c r="CD37" s="464"/>
      <c r="CE37" s="464"/>
      <c r="CF37" s="464"/>
      <c r="CG37" s="464"/>
      <c r="CH37" s="464"/>
      <c r="CI37" s="464"/>
      <c r="CJ37" s="464"/>
      <c r="CK37" s="464"/>
      <c r="CL37" s="464"/>
      <c r="CM37" s="464"/>
      <c r="CN37" s="464"/>
      <c r="CO37" s="464"/>
      <c r="CP37" s="464"/>
      <c r="CQ37" s="464"/>
      <c r="CR37" s="464"/>
      <c r="CS37" s="464"/>
      <c r="CT37" s="464"/>
      <c r="CU37" s="464"/>
      <c r="CV37" s="464"/>
      <c r="CW37" s="464"/>
      <c r="CX37" s="464"/>
      <c r="CY37" s="464"/>
      <c r="CZ37" s="464"/>
      <c r="DA37" s="464"/>
      <c r="DB37" s="464"/>
      <c r="DC37" s="464"/>
      <c r="DD37" s="464"/>
      <c r="DE37" s="464"/>
      <c r="DF37" s="464"/>
      <c r="DG37" s="464"/>
      <c r="DH37" s="464"/>
      <c r="DI37" s="464"/>
      <c r="DJ37" s="464"/>
      <c r="DK37" s="464"/>
      <c r="DL37" s="464"/>
      <c r="DM37" s="464"/>
      <c r="DN37" s="464"/>
      <c r="DO37" s="464"/>
      <c r="DP37" s="464"/>
      <c r="DQ37" s="464"/>
      <c r="DR37" s="464"/>
      <c r="DS37" s="464"/>
      <c r="DT37" s="464"/>
      <c r="DU37" s="464"/>
      <c r="DV37" s="464"/>
      <c r="DW37" s="464"/>
      <c r="DX37" s="464"/>
      <c r="DY37" s="464"/>
      <c r="DZ37" s="464"/>
      <c r="EA37" s="464"/>
      <c r="EB37" s="464"/>
      <c r="EC37" s="464"/>
      <c r="ED37" s="464"/>
      <c r="EE37" s="464"/>
      <c r="EF37" s="464"/>
      <c r="EG37" s="464"/>
      <c r="EH37" s="464"/>
      <c r="EI37" s="464"/>
      <c r="EJ37" s="464"/>
      <c r="EK37" s="464"/>
      <c r="EL37" s="464"/>
      <c r="EM37" s="464"/>
      <c r="EN37" s="464"/>
      <c r="EO37" s="464"/>
      <c r="EP37" s="464"/>
      <c r="EQ37" s="464"/>
      <c r="ER37" s="464"/>
      <c r="ES37" s="464"/>
      <c r="ET37" s="464"/>
      <c r="EU37" s="464"/>
      <c r="EV37" s="464"/>
      <c r="EW37" s="464"/>
      <c r="EX37" s="464"/>
      <c r="EY37" s="464"/>
      <c r="EZ37" s="464"/>
      <c r="FA37" s="464"/>
      <c r="FB37" s="464"/>
      <c r="FC37" s="464"/>
      <c r="FD37" s="464"/>
      <c r="FE37" s="464"/>
      <c r="FF37" s="464"/>
      <c r="FG37" s="301"/>
      <c r="FH37" s="301"/>
      <c r="FI37" s="301"/>
      <c r="FJ37" s="301"/>
      <c r="FK37" s="301"/>
      <c r="FL37" s="301"/>
      <c r="FM37" s="301"/>
      <c r="FN37" s="301"/>
    </row>
    <row r="38" spans="2:170" x14ac:dyDescent="0.25">
      <c r="B38" s="984"/>
      <c r="C38" s="551">
        <f t="shared" si="38"/>
        <v>28</v>
      </c>
      <c r="D38" s="553" t="s">
        <v>199</v>
      </c>
      <c r="E38" s="464" t="s">
        <v>135</v>
      </c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112"/>
      <c r="S38" s="464"/>
      <c r="T38" s="462"/>
      <c r="U38" s="464"/>
      <c r="V38" s="464"/>
      <c r="W38" s="464"/>
      <c r="X38" s="741"/>
      <c r="Y38" s="566"/>
      <c r="Z38" s="464"/>
      <c r="AA38" s="568"/>
      <c r="AB38" s="568"/>
      <c r="AC38" s="464"/>
      <c r="AD38" s="464"/>
      <c r="AE38" s="464"/>
      <c r="AF38" s="464"/>
      <c r="AG38" s="464"/>
      <c r="AH38" s="464"/>
      <c r="AI38" s="464"/>
      <c r="AJ38" s="586"/>
      <c r="AK38" s="586"/>
      <c r="AL38" s="464"/>
      <c r="AM38" s="464"/>
      <c r="AN38" s="464"/>
      <c r="AO38" s="464"/>
      <c r="AP38" s="464"/>
      <c r="AQ38" s="464"/>
      <c r="AR38" s="464"/>
      <c r="AS38" s="462"/>
      <c r="AT38" s="462"/>
      <c r="AU38" s="464"/>
      <c r="AV38" s="463"/>
      <c r="AW38" s="464"/>
      <c r="AX38" s="464"/>
      <c r="AY38" s="464"/>
      <c r="AZ38" s="464"/>
      <c r="BA38" s="464"/>
      <c r="BB38" s="464"/>
      <c r="BC38" s="464"/>
      <c r="BD38" s="464"/>
      <c r="BE38" s="464"/>
      <c r="BF38" s="464"/>
      <c r="BG38" s="464"/>
      <c r="BH38" s="464"/>
      <c r="BI38" s="464"/>
      <c r="BJ38" s="464"/>
      <c r="BK38" s="464"/>
      <c r="BL38" s="464"/>
      <c r="BM38" s="464"/>
      <c r="BN38" s="464"/>
      <c r="BO38" s="464"/>
      <c r="BP38" s="464"/>
      <c r="BQ38" s="464"/>
      <c r="BR38" s="464"/>
      <c r="BS38" s="464"/>
      <c r="BT38" s="464"/>
      <c r="BU38" s="464"/>
      <c r="BV38" s="464"/>
      <c r="BW38" s="464"/>
      <c r="BX38" s="464"/>
      <c r="BY38" s="464"/>
      <c r="BZ38" s="464"/>
      <c r="CA38" s="464"/>
      <c r="CB38" s="464"/>
      <c r="CC38" s="464"/>
      <c r="CD38" s="464"/>
      <c r="CE38" s="464"/>
      <c r="CF38" s="464"/>
      <c r="CG38" s="464"/>
      <c r="CH38" s="464"/>
      <c r="CI38" s="464"/>
      <c r="CJ38" s="464"/>
      <c r="CK38" s="464"/>
      <c r="CL38" s="464"/>
      <c r="CM38" s="464"/>
      <c r="CN38" s="464"/>
      <c r="CO38" s="464"/>
      <c r="CP38" s="464"/>
      <c r="CQ38" s="464"/>
      <c r="CR38" s="464"/>
      <c r="CS38" s="464"/>
      <c r="CT38" s="464"/>
      <c r="CU38" s="464"/>
      <c r="CV38" s="464"/>
      <c r="CW38" s="464"/>
      <c r="CX38" s="464"/>
      <c r="CY38" s="464"/>
      <c r="CZ38" s="464"/>
      <c r="DA38" s="464"/>
      <c r="DB38" s="464"/>
      <c r="DC38" s="464"/>
      <c r="DD38" s="464"/>
      <c r="DE38" s="464"/>
      <c r="DF38" s="464"/>
      <c r="DG38" s="464"/>
      <c r="DH38" s="464"/>
      <c r="DI38" s="464"/>
      <c r="DJ38" s="464"/>
      <c r="DK38" s="464"/>
      <c r="DL38" s="464"/>
      <c r="DM38" s="464"/>
      <c r="DN38" s="464"/>
      <c r="DO38" s="464"/>
      <c r="DP38" s="464"/>
      <c r="DQ38" s="464"/>
      <c r="DR38" s="464"/>
      <c r="DS38" s="464"/>
      <c r="DT38" s="464"/>
      <c r="DU38" s="464"/>
      <c r="DV38" s="464"/>
      <c r="DW38" s="464"/>
      <c r="DX38" s="464"/>
      <c r="DY38" s="464"/>
      <c r="DZ38" s="464"/>
      <c r="EA38" s="464"/>
      <c r="EB38" s="464"/>
      <c r="EC38" s="464"/>
      <c r="ED38" s="464"/>
      <c r="EE38" s="464"/>
      <c r="EF38" s="464"/>
      <c r="EG38" s="464"/>
      <c r="EH38" s="464"/>
      <c r="EI38" s="464"/>
      <c r="EJ38" s="464"/>
      <c r="EK38" s="464"/>
      <c r="EL38" s="464"/>
      <c r="EM38" s="464"/>
      <c r="EN38" s="464"/>
      <c r="EO38" s="464"/>
      <c r="EP38" s="464"/>
      <c r="EQ38" s="464"/>
      <c r="ER38" s="464"/>
      <c r="ES38" s="464"/>
      <c r="ET38" s="464"/>
      <c r="EU38" s="464"/>
      <c r="EV38" s="464"/>
      <c r="EW38" s="464"/>
      <c r="EX38" s="464"/>
      <c r="EY38" s="464"/>
      <c r="EZ38" s="464"/>
      <c r="FA38" s="464"/>
      <c r="FB38" s="464"/>
      <c r="FC38" s="464"/>
      <c r="FD38" s="464"/>
      <c r="FE38" s="464"/>
      <c r="FF38" s="464"/>
      <c r="FG38" s="301"/>
      <c r="FH38" s="301"/>
      <c r="FI38" s="301"/>
      <c r="FJ38" s="301"/>
      <c r="FK38" s="301"/>
      <c r="FL38" s="301"/>
      <c r="FM38" s="301"/>
      <c r="FN38" s="301"/>
    </row>
    <row r="39" spans="2:170" ht="15.75" thickBot="1" x14ac:dyDescent="0.3">
      <c r="B39" s="985"/>
      <c r="C39" s="551">
        <f>C38+1</f>
        <v>29</v>
      </c>
      <c r="D39" s="553" t="s">
        <v>387</v>
      </c>
      <c r="E39" s="464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4"/>
      <c r="U39" s="464"/>
      <c r="V39" s="464"/>
      <c r="W39" s="464"/>
      <c r="X39" s="112"/>
      <c r="Y39" s="464"/>
      <c r="Z39" s="566"/>
      <c r="AA39" s="566"/>
      <c r="AB39" s="568"/>
      <c r="AC39" s="568"/>
      <c r="AD39" s="464"/>
      <c r="AE39" s="464"/>
      <c r="AF39" s="464"/>
      <c r="AG39" s="464"/>
      <c r="AH39" s="464"/>
      <c r="AI39" s="464"/>
      <c r="AJ39" s="464"/>
      <c r="AK39" s="586"/>
      <c r="AL39" s="586"/>
      <c r="AM39" s="464"/>
      <c r="AN39" s="464"/>
      <c r="AO39" s="464"/>
      <c r="AP39" s="464"/>
      <c r="AQ39" s="464"/>
      <c r="AR39" s="464"/>
      <c r="AS39" s="464"/>
      <c r="AT39" s="462"/>
      <c r="AU39" s="464"/>
      <c r="AV39" s="463"/>
      <c r="AW39" s="464"/>
      <c r="AX39" s="464"/>
      <c r="AY39" s="464"/>
      <c r="AZ39" s="464"/>
      <c r="BA39" s="464"/>
      <c r="BB39" s="464"/>
      <c r="BC39" s="464"/>
      <c r="BD39" s="464"/>
      <c r="BE39" s="464"/>
      <c r="BF39" s="464"/>
      <c r="BG39" s="464"/>
      <c r="BH39" s="464"/>
      <c r="BI39" s="464"/>
      <c r="BJ39" s="464"/>
      <c r="BK39" s="464"/>
      <c r="BL39" s="464"/>
      <c r="BM39" s="464"/>
      <c r="BN39" s="464"/>
      <c r="BO39" s="464"/>
      <c r="BP39" s="464"/>
      <c r="BQ39" s="464"/>
      <c r="BR39" s="464"/>
      <c r="BS39" s="464"/>
      <c r="BT39" s="464"/>
      <c r="BU39" s="464"/>
      <c r="BV39" s="464"/>
      <c r="BW39" s="464"/>
      <c r="BX39" s="464"/>
      <c r="BY39" s="464"/>
      <c r="BZ39" s="464"/>
      <c r="CA39" s="464"/>
      <c r="CB39" s="464"/>
      <c r="CC39" s="464"/>
      <c r="CD39" s="464"/>
      <c r="CE39" s="464"/>
      <c r="CF39" s="464"/>
      <c r="CG39" s="464"/>
      <c r="CH39" s="464"/>
      <c r="CI39" s="464"/>
      <c r="CJ39" s="464"/>
      <c r="CK39" s="464"/>
      <c r="CL39" s="464"/>
      <c r="CM39" s="464"/>
      <c r="CN39" s="464"/>
      <c r="CO39" s="464"/>
      <c r="CP39" s="464"/>
      <c r="CQ39" s="464"/>
      <c r="CR39" s="464"/>
      <c r="CS39" s="464"/>
      <c r="CT39" s="464"/>
      <c r="CU39" s="464"/>
      <c r="CV39" s="464"/>
      <c r="CW39" s="464"/>
      <c r="CX39" s="464"/>
      <c r="CY39" s="464"/>
      <c r="CZ39" s="464"/>
      <c r="DA39" s="464"/>
      <c r="DB39" s="464"/>
      <c r="DC39" s="464"/>
      <c r="DD39" s="464"/>
      <c r="DE39" s="464"/>
      <c r="DF39" s="464"/>
      <c r="DG39" s="464"/>
      <c r="DH39" s="464"/>
      <c r="DI39" s="464"/>
      <c r="DJ39" s="464"/>
      <c r="DK39" s="464"/>
      <c r="DL39" s="464"/>
      <c r="DM39" s="464"/>
      <c r="DN39" s="464"/>
      <c r="DO39" s="464"/>
      <c r="DP39" s="464"/>
      <c r="DQ39" s="464"/>
      <c r="DR39" s="464"/>
      <c r="DS39" s="464"/>
      <c r="DT39" s="464"/>
      <c r="DU39" s="464"/>
      <c r="DV39" s="464"/>
      <c r="DW39" s="464"/>
      <c r="DX39" s="464"/>
      <c r="DY39" s="464"/>
      <c r="DZ39" s="464"/>
      <c r="EA39" s="464"/>
      <c r="EB39" s="464"/>
      <c r="EC39" s="464"/>
      <c r="ED39" s="464"/>
      <c r="EE39" s="464"/>
      <c r="EF39" s="464"/>
      <c r="EG39" s="464"/>
      <c r="EH39" s="464"/>
      <c r="EI39" s="464"/>
      <c r="EJ39" s="464"/>
      <c r="EK39" s="464"/>
      <c r="EL39" s="464"/>
      <c r="EM39" s="464"/>
      <c r="EN39" s="464"/>
      <c r="EO39" s="464"/>
      <c r="EP39" s="464"/>
      <c r="EQ39" s="464"/>
      <c r="ER39" s="464"/>
      <c r="ES39" s="464"/>
      <c r="ET39" s="464"/>
      <c r="EU39" s="464"/>
      <c r="EV39" s="464"/>
      <c r="EW39" s="464"/>
      <c r="EX39" s="464"/>
      <c r="EY39" s="464"/>
      <c r="EZ39" s="464"/>
      <c r="FA39" s="464"/>
      <c r="FB39" s="464"/>
      <c r="FC39" s="464"/>
      <c r="FD39" s="464"/>
      <c r="FE39" s="464"/>
      <c r="FF39" s="464"/>
      <c r="FG39" s="301"/>
      <c r="FH39" s="301"/>
      <c r="FI39" s="301"/>
      <c r="FJ39" s="301"/>
      <c r="FK39" s="301"/>
      <c r="FL39" s="301"/>
      <c r="FM39" s="301"/>
      <c r="FN39" s="301"/>
    </row>
    <row r="40" spans="2:170" ht="15.75" thickBot="1" x14ac:dyDescent="0.3">
      <c r="C40" s="458"/>
      <c r="D40" s="556"/>
      <c r="E40" s="577"/>
      <c r="F40" s="577"/>
      <c r="G40" s="577"/>
      <c r="H40" s="577"/>
      <c r="I40" s="577"/>
      <c r="J40" s="577"/>
      <c r="K40" s="577"/>
      <c r="L40" s="577"/>
      <c r="M40" s="577"/>
      <c r="N40" s="577"/>
      <c r="O40" s="577"/>
      <c r="P40" s="577"/>
      <c r="Q40" s="577"/>
      <c r="R40" s="577"/>
      <c r="S40" s="577"/>
      <c r="T40" s="464"/>
      <c r="U40" s="577"/>
      <c r="V40" s="577"/>
      <c r="W40" s="577"/>
      <c r="X40" s="577"/>
      <c r="Y40" s="577"/>
      <c r="Z40" s="577"/>
      <c r="AA40" s="577"/>
      <c r="AB40" s="577"/>
      <c r="AC40" s="577"/>
      <c r="AD40" s="577"/>
      <c r="AE40" s="577"/>
      <c r="AF40" s="577"/>
      <c r="AG40" s="577"/>
      <c r="AH40" s="577"/>
      <c r="AI40" s="577"/>
      <c r="AJ40" s="577"/>
      <c r="AK40" s="577"/>
      <c r="AL40" s="577"/>
      <c r="AM40" s="577"/>
      <c r="AN40" s="577"/>
      <c r="AO40" s="577"/>
      <c r="AP40" s="577"/>
      <c r="AQ40" s="577"/>
      <c r="AR40" s="577"/>
      <c r="AS40" s="577"/>
      <c r="AT40" s="577"/>
      <c r="AU40" s="577"/>
      <c r="AV40" s="578"/>
      <c r="AW40" s="577"/>
      <c r="AX40" s="577"/>
      <c r="AY40" s="577"/>
      <c r="AZ40" s="577"/>
      <c r="BA40" s="577"/>
      <c r="BB40" s="577"/>
      <c r="BC40" s="577"/>
      <c r="BD40" s="577"/>
      <c r="BE40" s="577"/>
      <c r="BF40" s="577"/>
      <c r="BG40" s="577"/>
      <c r="BH40" s="577"/>
      <c r="BI40" s="577"/>
      <c r="BJ40" s="577"/>
      <c r="BK40" s="577"/>
      <c r="BL40" s="577"/>
      <c r="BM40" s="577"/>
      <c r="BN40" s="577"/>
      <c r="BO40" s="577"/>
      <c r="BP40" s="577"/>
      <c r="BQ40" s="577"/>
      <c r="BR40" s="577"/>
      <c r="BS40" s="577"/>
      <c r="BT40" s="577"/>
      <c r="BU40" s="577"/>
      <c r="BV40" s="577"/>
      <c r="BW40" s="577"/>
      <c r="BX40" s="577"/>
      <c r="BY40" s="577"/>
      <c r="BZ40" s="577"/>
      <c r="CA40" s="577"/>
      <c r="CB40" s="577"/>
      <c r="CC40" s="577"/>
      <c r="CD40" s="577"/>
      <c r="CE40" s="577"/>
      <c r="CF40" s="577"/>
      <c r="CG40" s="577"/>
      <c r="CH40" s="577"/>
      <c r="CI40" s="577"/>
      <c r="CJ40" s="577"/>
      <c r="CK40" s="577"/>
      <c r="CL40" s="577"/>
      <c r="CM40" s="577"/>
      <c r="CN40" s="577"/>
      <c r="CO40" s="577"/>
      <c r="CP40" s="577"/>
      <c r="CQ40" s="577"/>
      <c r="CR40" s="577"/>
      <c r="CS40" s="577"/>
      <c r="CT40" s="577"/>
      <c r="CU40" s="577"/>
      <c r="CV40" s="577"/>
      <c r="CW40" s="577"/>
      <c r="CX40" s="577"/>
      <c r="CY40" s="577"/>
      <c r="CZ40" s="577"/>
      <c r="DA40" s="577"/>
      <c r="DB40" s="577"/>
      <c r="DC40" s="577"/>
      <c r="DD40" s="577"/>
      <c r="DE40" s="577"/>
      <c r="DF40" s="577"/>
      <c r="DG40" s="577"/>
      <c r="DH40" s="577"/>
      <c r="DI40" s="577"/>
      <c r="DJ40" s="577"/>
      <c r="DK40" s="577"/>
      <c r="DL40" s="577"/>
      <c r="DM40" s="577"/>
      <c r="DN40" s="577"/>
      <c r="DO40" s="577"/>
      <c r="DP40" s="577"/>
      <c r="DQ40" s="577"/>
      <c r="DR40" s="577"/>
      <c r="DS40" s="577"/>
      <c r="DT40" s="577"/>
      <c r="DU40" s="577"/>
      <c r="DV40" s="577"/>
      <c r="DW40" s="577"/>
      <c r="DX40" s="577"/>
      <c r="DY40" s="577"/>
      <c r="DZ40" s="577"/>
      <c r="EA40" s="577"/>
      <c r="EB40" s="577"/>
      <c r="EC40" s="577"/>
      <c r="ED40" s="577"/>
      <c r="EE40" s="577"/>
      <c r="EF40" s="577"/>
      <c r="EG40" s="577"/>
      <c r="EH40" s="577"/>
      <c r="EI40" s="577"/>
      <c r="EJ40" s="577"/>
      <c r="EK40" s="577"/>
      <c r="EL40" s="577"/>
      <c r="EM40" s="577"/>
      <c r="EN40" s="577"/>
      <c r="EO40" s="577"/>
      <c r="EP40" s="577"/>
      <c r="EQ40" s="577"/>
      <c r="ER40" s="577"/>
      <c r="ES40" s="577"/>
      <c r="ET40" s="577"/>
      <c r="EU40" s="577"/>
      <c r="EV40" s="577"/>
      <c r="EW40" s="577"/>
      <c r="EX40" s="577"/>
      <c r="EY40" s="577"/>
      <c r="EZ40" s="577"/>
      <c r="FA40" s="577"/>
      <c r="FB40" s="577"/>
      <c r="FC40" s="577"/>
      <c r="FD40" s="577"/>
      <c r="FE40" s="577"/>
      <c r="FF40" s="577"/>
      <c r="FG40" s="301"/>
      <c r="FH40" s="301"/>
      <c r="FI40" s="301"/>
      <c r="FJ40" s="301"/>
      <c r="FK40" s="301"/>
      <c r="FL40" s="301"/>
      <c r="FM40" s="301"/>
      <c r="FN40" s="301"/>
    </row>
    <row r="41" spans="2:170" ht="15" customHeight="1" x14ac:dyDescent="0.25">
      <c r="B41" s="983" t="s">
        <v>110</v>
      </c>
      <c r="C41" s="551">
        <f>C39+1</f>
        <v>30</v>
      </c>
      <c r="D41" s="553" t="s">
        <v>200</v>
      </c>
      <c r="E41" s="464"/>
      <c r="F41" s="464"/>
      <c r="G41" s="464"/>
      <c r="H41" s="464"/>
      <c r="I41" s="464"/>
      <c r="J41" s="464"/>
      <c r="K41" s="464"/>
      <c r="L41" s="464"/>
      <c r="M41" s="464"/>
      <c r="N41" s="464"/>
      <c r="O41" s="464"/>
      <c r="P41" s="464"/>
      <c r="Q41" s="464"/>
      <c r="R41" s="464"/>
      <c r="S41" s="566"/>
      <c r="T41" s="464"/>
      <c r="U41" s="464"/>
      <c r="V41" s="112"/>
      <c r="W41" s="464"/>
      <c r="X41" s="464"/>
      <c r="Y41" s="568"/>
      <c r="Z41" s="464"/>
      <c r="AA41" s="464"/>
      <c r="AB41" s="464"/>
      <c r="AC41" s="464"/>
      <c r="AD41" s="464"/>
      <c r="AE41" s="586"/>
      <c r="AF41" s="464"/>
      <c r="AG41" s="464"/>
      <c r="AH41" s="464"/>
      <c r="AI41" s="464"/>
      <c r="AJ41" s="464"/>
      <c r="AK41" s="464"/>
      <c r="AL41" s="464"/>
      <c r="AM41" s="464"/>
      <c r="AN41" s="464"/>
      <c r="AO41" s="464"/>
      <c r="AP41" s="464"/>
      <c r="AQ41" s="464"/>
      <c r="AR41" s="464"/>
      <c r="AS41" s="464"/>
      <c r="AT41" s="464"/>
      <c r="AU41" s="464"/>
      <c r="AV41" s="463"/>
      <c r="AW41" s="464"/>
      <c r="AX41" s="464"/>
      <c r="AY41" s="464"/>
      <c r="AZ41" s="464"/>
      <c r="BA41" s="464"/>
      <c r="BB41" s="464"/>
      <c r="BC41" s="464"/>
      <c r="BD41" s="464"/>
      <c r="BE41" s="464"/>
      <c r="BF41" s="464"/>
      <c r="BG41" s="464"/>
      <c r="BH41" s="464"/>
      <c r="BI41" s="464"/>
      <c r="BJ41" s="464"/>
      <c r="BK41" s="464"/>
      <c r="BL41" s="464"/>
      <c r="BM41" s="464"/>
      <c r="BN41" s="464"/>
      <c r="BO41" s="464"/>
      <c r="BP41" s="464"/>
      <c r="BQ41" s="464"/>
      <c r="BR41" s="464"/>
      <c r="BS41" s="464"/>
      <c r="BT41" s="464"/>
      <c r="BU41" s="464"/>
      <c r="BV41" s="464"/>
      <c r="BW41" s="464"/>
      <c r="BX41" s="464"/>
      <c r="BY41" s="464"/>
      <c r="BZ41" s="464"/>
      <c r="CA41" s="464"/>
      <c r="CB41" s="464"/>
      <c r="CC41" s="464"/>
      <c r="CD41" s="464"/>
      <c r="CE41" s="464"/>
      <c r="CF41" s="464"/>
      <c r="CG41" s="464"/>
      <c r="CH41" s="464"/>
      <c r="CI41" s="464"/>
      <c r="CJ41" s="464"/>
      <c r="CK41" s="464"/>
      <c r="CL41" s="464"/>
      <c r="CM41" s="464"/>
      <c r="CN41" s="464"/>
      <c r="CO41" s="464"/>
      <c r="CP41" s="464"/>
      <c r="CQ41" s="464"/>
      <c r="CR41" s="464"/>
      <c r="CS41" s="464"/>
      <c r="CT41" s="464"/>
      <c r="CU41" s="464"/>
      <c r="CV41" s="464"/>
      <c r="CW41" s="464"/>
      <c r="CX41" s="464"/>
      <c r="CY41" s="464"/>
      <c r="CZ41" s="464"/>
      <c r="DA41" s="464"/>
      <c r="DB41" s="464"/>
      <c r="DC41" s="464"/>
      <c r="DD41" s="464"/>
      <c r="DE41" s="464"/>
      <c r="DF41" s="464"/>
      <c r="DG41" s="464"/>
      <c r="DH41" s="464"/>
      <c r="DI41" s="464"/>
      <c r="DJ41" s="464"/>
      <c r="DK41" s="464"/>
      <c r="DL41" s="464"/>
      <c r="DM41" s="464"/>
      <c r="DN41" s="464"/>
      <c r="DO41" s="464"/>
      <c r="DP41" s="464"/>
      <c r="DQ41" s="464"/>
      <c r="DR41" s="464"/>
      <c r="DS41" s="464"/>
      <c r="DT41" s="464"/>
      <c r="DU41" s="464"/>
      <c r="DV41" s="464"/>
      <c r="DW41" s="464"/>
      <c r="DX41" s="464"/>
      <c r="DY41" s="464"/>
      <c r="DZ41" s="464"/>
      <c r="EA41" s="464"/>
      <c r="EB41" s="464"/>
      <c r="EC41" s="464"/>
      <c r="ED41" s="464"/>
      <c r="EE41" s="464"/>
      <c r="EF41" s="464"/>
      <c r="EG41" s="464"/>
      <c r="EH41" s="464"/>
      <c r="EI41" s="464"/>
      <c r="EJ41" s="464"/>
      <c r="EK41" s="464"/>
      <c r="EL41" s="464"/>
      <c r="EM41" s="464"/>
      <c r="EN41" s="464"/>
      <c r="EO41" s="464"/>
      <c r="EP41" s="464"/>
      <c r="EQ41" s="464"/>
      <c r="ER41" s="464"/>
      <c r="ES41" s="464"/>
      <c r="ET41" s="464"/>
      <c r="EU41" s="464"/>
      <c r="EV41" s="464"/>
      <c r="EW41" s="464"/>
      <c r="EX41" s="464"/>
      <c r="EY41" s="464"/>
      <c r="EZ41" s="464"/>
      <c r="FA41" s="464"/>
      <c r="FB41" s="464"/>
      <c r="FC41" s="464"/>
      <c r="FD41" s="464"/>
      <c r="FE41" s="464"/>
      <c r="FF41" s="464"/>
      <c r="FG41" s="301"/>
      <c r="FH41" s="301"/>
      <c r="FI41" s="301"/>
      <c r="FJ41" s="301"/>
      <c r="FK41" s="301"/>
      <c r="FL41" s="301"/>
      <c r="FM41" s="301"/>
      <c r="FN41" s="301"/>
    </row>
    <row r="42" spans="2:170" ht="15" customHeight="1" thickBot="1" x14ac:dyDescent="0.3">
      <c r="B42" s="985"/>
      <c r="C42" s="551">
        <f>C41+1</f>
        <v>31</v>
      </c>
      <c r="D42" s="553" t="s">
        <v>225</v>
      </c>
      <c r="E42" s="464"/>
      <c r="F42" s="464"/>
      <c r="G42" s="464"/>
      <c r="H42" s="464"/>
      <c r="I42" s="464"/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566"/>
      <c r="U42" s="464"/>
      <c r="V42" s="112"/>
      <c r="W42" s="464"/>
      <c r="X42" s="464"/>
      <c r="Y42" s="464"/>
      <c r="Z42" s="568"/>
      <c r="AA42" s="464"/>
      <c r="AB42" s="464"/>
      <c r="AC42" s="464"/>
      <c r="AD42" s="464"/>
      <c r="AE42" s="464"/>
      <c r="AF42" s="586"/>
      <c r="AG42" s="464"/>
      <c r="AH42" s="464"/>
      <c r="AI42" s="464"/>
      <c r="AJ42" s="464"/>
      <c r="AK42" s="464"/>
      <c r="AL42" s="464"/>
      <c r="AM42" s="464"/>
      <c r="AN42" s="464"/>
      <c r="AO42" s="464"/>
      <c r="AP42" s="464"/>
      <c r="AQ42" s="464"/>
      <c r="AR42" s="464"/>
      <c r="AS42" s="464"/>
      <c r="AT42" s="464"/>
      <c r="AU42" s="464"/>
      <c r="AV42" s="463"/>
      <c r="AW42" s="464"/>
      <c r="AX42" s="464"/>
      <c r="AY42" s="464"/>
      <c r="AZ42" s="464"/>
      <c r="BA42" s="464"/>
      <c r="BB42" s="464"/>
      <c r="BC42" s="464"/>
      <c r="BD42" s="464"/>
      <c r="BE42" s="464"/>
      <c r="BF42" s="464"/>
      <c r="BG42" s="464"/>
      <c r="BH42" s="464"/>
      <c r="BI42" s="464"/>
      <c r="BJ42" s="464"/>
      <c r="BK42" s="464"/>
      <c r="BL42" s="464"/>
      <c r="BM42" s="464"/>
      <c r="BN42" s="464"/>
      <c r="BO42" s="464"/>
      <c r="BP42" s="464"/>
      <c r="BQ42" s="464"/>
      <c r="BR42" s="464"/>
      <c r="BS42" s="464"/>
      <c r="BT42" s="464"/>
      <c r="BU42" s="464"/>
      <c r="BV42" s="464"/>
      <c r="BW42" s="464"/>
      <c r="BX42" s="464"/>
      <c r="BY42" s="464"/>
      <c r="BZ42" s="464"/>
      <c r="CA42" s="464"/>
      <c r="CB42" s="464"/>
      <c r="CC42" s="464"/>
      <c r="CD42" s="464"/>
      <c r="CE42" s="464"/>
      <c r="CF42" s="464"/>
      <c r="CG42" s="464"/>
      <c r="CH42" s="464"/>
      <c r="CI42" s="464"/>
      <c r="CJ42" s="464"/>
      <c r="CK42" s="464"/>
      <c r="CL42" s="464"/>
      <c r="CM42" s="464"/>
      <c r="CN42" s="464"/>
      <c r="CO42" s="464"/>
      <c r="CP42" s="464"/>
      <c r="CQ42" s="464"/>
      <c r="CR42" s="464"/>
      <c r="CS42" s="464"/>
      <c r="CT42" s="464"/>
      <c r="CU42" s="464"/>
      <c r="CV42" s="464"/>
      <c r="CW42" s="464"/>
      <c r="CX42" s="464"/>
      <c r="CY42" s="464"/>
      <c r="CZ42" s="464"/>
      <c r="DA42" s="464"/>
      <c r="DB42" s="464"/>
      <c r="DC42" s="464"/>
      <c r="DD42" s="464"/>
      <c r="DE42" s="464"/>
      <c r="DF42" s="464"/>
      <c r="DG42" s="464"/>
      <c r="DH42" s="464"/>
      <c r="DI42" s="464"/>
      <c r="DJ42" s="464"/>
      <c r="DK42" s="464"/>
      <c r="DL42" s="464"/>
      <c r="DM42" s="464"/>
      <c r="DN42" s="464"/>
      <c r="DO42" s="464"/>
      <c r="DP42" s="464"/>
      <c r="DQ42" s="464"/>
      <c r="DR42" s="464"/>
      <c r="DS42" s="464"/>
      <c r="DT42" s="464"/>
      <c r="DU42" s="464"/>
      <c r="DV42" s="464"/>
      <c r="DW42" s="464"/>
      <c r="DX42" s="464"/>
      <c r="DY42" s="464"/>
      <c r="DZ42" s="464"/>
      <c r="EA42" s="464"/>
      <c r="EB42" s="464"/>
      <c r="EC42" s="464"/>
      <c r="ED42" s="464"/>
      <c r="EE42" s="464"/>
      <c r="EF42" s="464"/>
      <c r="EG42" s="464"/>
      <c r="EH42" s="464"/>
      <c r="EI42" s="464"/>
      <c r="EJ42" s="464"/>
      <c r="EK42" s="464"/>
      <c r="EL42" s="464"/>
      <c r="EM42" s="464"/>
      <c r="EN42" s="464"/>
      <c r="EO42" s="464"/>
      <c r="EP42" s="464"/>
      <c r="EQ42" s="464"/>
      <c r="ER42" s="464"/>
      <c r="ES42" s="464"/>
      <c r="ET42" s="464"/>
      <c r="EU42" s="464"/>
      <c r="EV42" s="464"/>
      <c r="EW42" s="464"/>
      <c r="EX42" s="464"/>
      <c r="EY42" s="464"/>
      <c r="EZ42" s="464"/>
      <c r="FA42" s="464"/>
      <c r="FB42" s="464"/>
      <c r="FC42" s="464"/>
      <c r="FD42" s="464"/>
      <c r="FE42" s="464"/>
      <c r="FF42" s="464"/>
      <c r="FG42" s="301"/>
      <c r="FH42" s="301"/>
      <c r="FI42" s="301"/>
      <c r="FJ42" s="301"/>
      <c r="FK42" s="301"/>
      <c r="FL42" s="301"/>
      <c r="FM42" s="301"/>
      <c r="FN42" s="301"/>
    </row>
    <row r="43" spans="2:170" ht="15" customHeight="1" x14ac:dyDescent="0.25">
      <c r="B43" s="465"/>
      <c r="C43" s="458"/>
      <c r="D43" s="556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4"/>
      <c r="X43" s="464"/>
      <c r="Y43" s="464"/>
      <c r="Z43" s="464"/>
      <c r="AA43" s="464"/>
      <c r="AB43" s="462"/>
      <c r="AC43" s="464"/>
      <c r="AD43" s="464"/>
      <c r="AE43" s="464"/>
      <c r="AF43" s="464"/>
      <c r="AG43" s="464"/>
      <c r="AH43" s="464"/>
      <c r="AI43" s="464"/>
      <c r="AJ43" s="464"/>
      <c r="AK43" s="464"/>
      <c r="AL43" s="464"/>
      <c r="AM43" s="464"/>
      <c r="AN43" s="464"/>
      <c r="AO43" s="462"/>
      <c r="AP43" s="464"/>
      <c r="AQ43" s="464"/>
      <c r="AR43" s="464"/>
      <c r="AS43" s="464"/>
      <c r="AT43" s="464"/>
      <c r="AU43" s="464"/>
      <c r="AV43" s="463"/>
      <c r="AW43" s="464"/>
      <c r="AX43" s="464"/>
      <c r="AY43" s="464"/>
      <c r="AZ43" s="464"/>
      <c r="BA43" s="464"/>
      <c r="BB43" s="464"/>
      <c r="BC43" s="464"/>
      <c r="BD43" s="584"/>
      <c r="BE43" s="464"/>
      <c r="BF43" s="464"/>
      <c r="BG43" s="464"/>
      <c r="BH43" s="464"/>
      <c r="BI43" s="464"/>
      <c r="BJ43" s="464"/>
      <c r="BK43" s="464"/>
      <c r="BL43" s="464"/>
      <c r="BM43" s="464"/>
      <c r="BN43" s="464"/>
      <c r="BO43" s="464"/>
      <c r="BP43" s="464"/>
      <c r="BQ43" s="464"/>
      <c r="BR43" s="464"/>
      <c r="BS43" s="464"/>
      <c r="BT43" s="464"/>
      <c r="BU43" s="464"/>
      <c r="BV43" s="464"/>
      <c r="BW43" s="464"/>
      <c r="BX43" s="464"/>
      <c r="BY43" s="464"/>
      <c r="BZ43" s="464"/>
      <c r="CA43" s="464"/>
      <c r="CB43" s="464"/>
      <c r="CC43" s="464"/>
      <c r="CD43" s="464"/>
      <c r="CE43" s="464"/>
      <c r="CF43" s="464"/>
      <c r="CG43" s="464"/>
      <c r="CH43" s="464"/>
      <c r="CI43" s="464"/>
      <c r="CJ43" s="464"/>
      <c r="CK43" s="464"/>
      <c r="CL43" s="464"/>
      <c r="CM43" s="464"/>
      <c r="CN43" s="464"/>
      <c r="CO43" s="464"/>
      <c r="CP43" s="464"/>
      <c r="CQ43" s="464"/>
      <c r="CR43" s="464"/>
      <c r="CS43" s="464"/>
      <c r="CT43" s="464"/>
      <c r="CU43" s="464"/>
      <c r="CV43" s="464"/>
      <c r="CW43" s="464"/>
      <c r="CX43" s="464"/>
      <c r="CY43" s="464"/>
      <c r="CZ43" s="464"/>
      <c r="DA43" s="464"/>
      <c r="DB43" s="464"/>
      <c r="DC43" s="464"/>
      <c r="DD43" s="464"/>
      <c r="DE43" s="464"/>
      <c r="DF43" s="464"/>
      <c r="DG43" s="464"/>
      <c r="DH43" s="464"/>
      <c r="DI43" s="464"/>
      <c r="DJ43" s="464"/>
      <c r="DK43" s="464"/>
      <c r="DL43" s="464"/>
      <c r="DM43" s="464"/>
      <c r="DN43" s="464"/>
      <c r="DO43" s="464"/>
      <c r="DP43" s="464"/>
      <c r="DQ43" s="464"/>
      <c r="DR43" s="464"/>
      <c r="DS43" s="464"/>
      <c r="DT43" s="464"/>
      <c r="DU43" s="464"/>
      <c r="DV43" s="464"/>
      <c r="DW43" s="464"/>
      <c r="DX43" s="464"/>
      <c r="DY43" s="464"/>
      <c r="DZ43" s="464"/>
      <c r="EA43" s="464"/>
      <c r="EB43" s="464"/>
      <c r="EC43" s="464"/>
      <c r="ED43" s="464"/>
      <c r="EE43" s="464"/>
      <c r="EF43" s="464"/>
      <c r="EG43" s="464"/>
      <c r="EH43" s="464"/>
      <c r="EI43" s="464"/>
      <c r="EJ43" s="464"/>
      <c r="EK43" s="464"/>
      <c r="EL43" s="464"/>
      <c r="EM43" s="464"/>
      <c r="EN43" s="464"/>
      <c r="EO43" s="464"/>
      <c r="EP43" s="464"/>
      <c r="EQ43" s="464"/>
      <c r="ER43" s="464"/>
      <c r="ES43" s="464"/>
      <c r="ET43" s="464"/>
      <c r="EU43" s="464"/>
      <c r="EV43" s="464"/>
      <c r="EW43" s="464"/>
      <c r="EX43" s="464"/>
      <c r="EY43" s="464"/>
      <c r="EZ43" s="464"/>
      <c r="FA43" s="464"/>
      <c r="FB43" s="464"/>
      <c r="FC43" s="464"/>
      <c r="FD43" s="464"/>
      <c r="FE43" s="464"/>
      <c r="FF43" s="464"/>
      <c r="FG43" s="301"/>
      <c r="FH43" s="301"/>
      <c r="FI43" s="301"/>
      <c r="FJ43" s="301"/>
      <c r="FK43" s="301"/>
      <c r="FL43" s="301"/>
      <c r="FM43" s="301"/>
      <c r="FN43" s="301"/>
    </row>
    <row r="44" spans="2:170" ht="15" customHeight="1" x14ac:dyDescent="0.25">
      <c r="B44" s="997" t="s">
        <v>201</v>
      </c>
      <c r="C44" s="551">
        <f>C42+1</f>
        <v>32</v>
      </c>
      <c r="D44" s="553" t="s">
        <v>227</v>
      </c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4"/>
      <c r="P44" s="464"/>
      <c r="Q44" s="464"/>
      <c r="R44" s="464"/>
      <c r="S44" s="566"/>
      <c r="T44" s="618"/>
      <c r="U44" s="464"/>
      <c r="V44" s="464"/>
      <c r="W44" s="464"/>
      <c r="X44" s="464"/>
      <c r="Y44" s="464"/>
      <c r="Z44" s="618"/>
      <c r="AA44" s="618"/>
      <c r="AB44" s="618"/>
      <c r="AC44" s="618"/>
      <c r="AD44" s="618"/>
      <c r="AE44" s="744"/>
      <c r="AF44" s="664"/>
      <c r="AG44" s="664"/>
      <c r="AH44" s="665"/>
      <c r="AI44" s="618"/>
      <c r="AJ44" s="618"/>
      <c r="AK44" s="618"/>
      <c r="AL44" s="593"/>
      <c r="AM44" s="593"/>
      <c r="AN44" s="593"/>
      <c r="AO44" s="593"/>
      <c r="AP44" s="618"/>
      <c r="AQ44" s="618"/>
      <c r="AR44" s="618"/>
      <c r="AS44" s="618"/>
      <c r="AT44" s="464"/>
      <c r="AU44" s="464"/>
      <c r="AV44" s="463"/>
      <c r="AW44" s="464"/>
      <c r="AX44" s="464"/>
      <c r="AY44" s="464"/>
      <c r="AZ44" s="464"/>
      <c r="BA44" s="464"/>
      <c r="BB44" s="464"/>
      <c r="BC44" s="464"/>
      <c r="BD44" s="584"/>
      <c r="BE44" s="464"/>
      <c r="BF44" s="464"/>
      <c r="BG44" s="464"/>
      <c r="BH44" s="464"/>
      <c r="BI44" s="464"/>
      <c r="BJ44" s="464"/>
      <c r="BK44" s="464"/>
      <c r="BL44" s="464"/>
      <c r="BM44" s="464"/>
      <c r="BN44" s="464"/>
      <c r="BO44" s="464"/>
      <c r="BP44" s="464"/>
      <c r="BQ44" s="464"/>
      <c r="BR44" s="464"/>
      <c r="BS44" s="464"/>
      <c r="BT44" s="464"/>
      <c r="BU44" s="464"/>
      <c r="BV44" s="464"/>
      <c r="BW44" s="464"/>
      <c r="BX44" s="464"/>
      <c r="BY44" s="464"/>
      <c r="BZ44" s="464"/>
      <c r="CA44" s="464"/>
      <c r="CB44" s="464"/>
      <c r="CC44" s="464"/>
      <c r="CD44" s="464"/>
      <c r="CE44" s="464"/>
      <c r="CF44" s="464"/>
      <c r="CG44" s="464"/>
      <c r="CH44" s="464"/>
      <c r="CI44" s="464"/>
      <c r="CJ44" s="464"/>
      <c r="CK44" s="464"/>
      <c r="CL44" s="464"/>
      <c r="CM44" s="464"/>
      <c r="CN44" s="464"/>
      <c r="CO44" s="464"/>
      <c r="CP44" s="464"/>
      <c r="CQ44" s="464"/>
      <c r="CR44" s="464"/>
      <c r="CS44" s="464"/>
      <c r="CT44" s="464"/>
      <c r="CU44" s="464"/>
      <c r="CV44" s="464"/>
      <c r="CW44" s="464"/>
      <c r="CX44" s="464"/>
      <c r="CY44" s="464"/>
      <c r="CZ44" s="464"/>
      <c r="DA44" s="464"/>
      <c r="DB44" s="464"/>
      <c r="DC44" s="464"/>
      <c r="DD44" s="464"/>
      <c r="DE44" s="464"/>
      <c r="DF44" s="464"/>
      <c r="DG44" s="464"/>
      <c r="DH44" s="464"/>
      <c r="DI44" s="464"/>
      <c r="DJ44" s="464"/>
      <c r="DK44" s="464"/>
      <c r="DL44" s="464"/>
      <c r="DM44" s="464"/>
      <c r="DN44" s="464"/>
      <c r="DO44" s="464"/>
      <c r="DP44" s="464"/>
      <c r="DQ44" s="464"/>
      <c r="DR44" s="464"/>
      <c r="DS44" s="464"/>
      <c r="DT44" s="464"/>
      <c r="DU44" s="464"/>
      <c r="DV44" s="464"/>
      <c r="DW44" s="464"/>
      <c r="DX44" s="464"/>
      <c r="DY44" s="464"/>
      <c r="DZ44" s="464"/>
      <c r="EA44" s="464"/>
      <c r="EB44" s="464"/>
      <c r="EC44" s="464"/>
      <c r="ED44" s="464"/>
      <c r="EE44" s="464"/>
      <c r="EF44" s="464"/>
      <c r="EG44" s="464"/>
      <c r="EH44" s="464"/>
      <c r="EI44" s="464"/>
      <c r="EJ44" s="464"/>
      <c r="EK44" s="464"/>
      <c r="EL44" s="464"/>
      <c r="EM44" s="464"/>
      <c r="EN44" s="464"/>
      <c r="EO44" s="464"/>
      <c r="EP44" s="464"/>
      <c r="EQ44" s="464"/>
      <c r="ER44" s="464"/>
      <c r="ES44" s="464"/>
      <c r="ET44" s="464"/>
      <c r="EU44" s="464"/>
      <c r="EV44" s="464"/>
      <c r="EW44" s="580"/>
      <c r="EX44" s="464"/>
      <c r="EY44" s="464"/>
      <c r="EZ44" s="464"/>
      <c r="FA44" s="464"/>
      <c r="FB44" s="464"/>
      <c r="FC44" s="464"/>
      <c r="FD44" s="464"/>
      <c r="FE44" s="464"/>
      <c r="FF44" s="464"/>
      <c r="FG44" s="301"/>
      <c r="FH44" s="301"/>
      <c r="FI44" s="301"/>
      <c r="FJ44" s="301"/>
      <c r="FK44" s="301"/>
      <c r="FL44" s="301"/>
      <c r="FM44" s="301"/>
      <c r="FN44" s="301"/>
    </row>
    <row r="45" spans="2:170" ht="15" customHeight="1" x14ac:dyDescent="0.25">
      <c r="B45" s="998"/>
      <c r="C45" s="551">
        <f>+C44+1</f>
        <v>33</v>
      </c>
      <c r="D45" s="553" t="s">
        <v>374</v>
      </c>
      <c r="E45" s="464"/>
      <c r="F45" s="464"/>
      <c r="G45" s="464"/>
      <c r="H45" s="464"/>
      <c r="I45" s="464"/>
      <c r="J45" s="464"/>
      <c r="K45" s="464"/>
      <c r="L45" s="464"/>
      <c r="M45" s="464"/>
      <c r="N45" s="464"/>
      <c r="O45" s="762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  <c r="AB45" s="464"/>
      <c r="AC45" s="464"/>
      <c r="AD45" s="464"/>
      <c r="AE45" s="552"/>
      <c r="AF45" s="552"/>
      <c r="AG45" s="552"/>
      <c r="AH45" s="112"/>
      <c r="AI45" s="464"/>
      <c r="AJ45" s="464"/>
      <c r="AK45" s="618"/>
      <c r="AL45" s="745"/>
      <c r="AM45" s="745"/>
      <c r="AN45" s="745"/>
      <c r="AO45" s="745"/>
      <c r="AP45" s="618"/>
      <c r="AQ45" s="618"/>
      <c r="AR45" s="618"/>
      <c r="AS45" s="618"/>
      <c r="AT45" s="464"/>
      <c r="AU45" s="464"/>
      <c r="AV45" s="463"/>
      <c r="AW45" s="464"/>
      <c r="AX45" s="464"/>
      <c r="AY45" s="464"/>
      <c r="AZ45" s="464"/>
      <c r="BA45" s="463"/>
      <c r="BB45" s="464"/>
      <c r="BC45" s="464"/>
      <c r="BD45" s="584"/>
      <c r="BE45" s="464"/>
      <c r="BF45" s="464"/>
      <c r="BG45" s="464"/>
      <c r="BH45" s="464"/>
      <c r="BI45" s="464"/>
      <c r="BJ45" s="464"/>
      <c r="BK45" s="464"/>
      <c r="BL45" s="464"/>
      <c r="BM45" s="464"/>
      <c r="BN45" s="464"/>
      <c r="BO45" s="464"/>
      <c r="BP45" s="464"/>
      <c r="BQ45" s="464"/>
      <c r="BR45" s="464"/>
      <c r="BS45" s="464"/>
      <c r="BT45" s="464"/>
      <c r="BU45" s="464"/>
      <c r="BV45" s="464"/>
      <c r="BW45" s="464"/>
      <c r="BX45" s="464"/>
      <c r="BY45" s="464"/>
      <c r="BZ45" s="463"/>
      <c r="CA45" s="464"/>
      <c r="CB45" s="464"/>
      <c r="CC45" s="464"/>
      <c r="CD45" s="464"/>
      <c r="CE45" s="464"/>
      <c r="CF45" s="464"/>
      <c r="CG45" s="464"/>
      <c r="CH45" s="464"/>
      <c r="CI45" s="464"/>
      <c r="CJ45" s="464"/>
      <c r="CK45" s="464"/>
      <c r="CL45" s="464"/>
      <c r="CM45" s="464"/>
      <c r="CN45" s="464"/>
      <c r="CO45" s="464"/>
      <c r="CP45" s="464"/>
      <c r="CQ45" s="464"/>
      <c r="CR45" s="464"/>
      <c r="CS45" s="464"/>
      <c r="CT45" s="464"/>
      <c r="CU45" s="464"/>
      <c r="CV45" s="464"/>
      <c r="CW45" s="464"/>
      <c r="CX45" s="464"/>
      <c r="CY45" s="464"/>
      <c r="CZ45" s="463"/>
      <c r="DA45" s="464"/>
      <c r="DB45" s="464"/>
      <c r="DC45" s="464"/>
      <c r="DD45" s="464"/>
      <c r="DE45" s="464"/>
      <c r="DF45" s="464"/>
      <c r="DG45" s="464"/>
      <c r="DH45" s="464"/>
      <c r="DI45" s="464"/>
      <c r="DJ45" s="464"/>
      <c r="DK45" s="464"/>
      <c r="DL45" s="464"/>
      <c r="DM45" s="464"/>
      <c r="DN45" s="464"/>
      <c r="DO45" s="464"/>
      <c r="DP45" s="464"/>
      <c r="DQ45" s="464"/>
      <c r="DR45" s="464"/>
      <c r="DS45" s="464"/>
      <c r="DT45" s="464"/>
      <c r="DU45" s="464"/>
      <c r="DV45" s="464"/>
      <c r="DW45" s="464"/>
      <c r="DX45" s="464"/>
      <c r="DY45" s="464"/>
      <c r="DZ45" s="464"/>
      <c r="EA45" s="463"/>
      <c r="EB45" s="464"/>
      <c r="EC45" s="464"/>
      <c r="ED45" s="464"/>
      <c r="EE45" s="464"/>
      <c r="EF45" s="464"/>
      <c r="EG45" s="464"/>
      <c r="EH45" s="464"/>
      <c r="EI45" s="464"/>
      <c r="EJ45" s="464"/>
      <c r="EK45" s="464"/>
      <c r="EL45" s="464"/>
      <c r="EM45" s="464"/>
      <c r="EN45" s="464"/>
      <c r="EO45" s="464"/>
      <c r="EP45" s="464"/>
      <c r="EQ45" s="464"/>
      <c r="ER45" s="464"/>
      <c r="ES45" s="464"/>
      <c r="ET45" s="464"/>
      <c r="EU45" s="464"/>
      <c r="EV45" s="464"/>
      <c r="EW45" s="580"/>
      <c r="EX45" s="464"/>
      <c r="EY45" s="464"/>
      <c r="EZ45" s="464"/>
      <c r="FA45" s="464"/>
      <c r="FB45" s="464"/>
      <c r="FC45" s="464"/>
      <c r="FD45" s="464"/>
      <c r="FE45" s="464"/>
      <c r="FF45" s="464"/>
      <c r="FG45" s="301"/>
      <c r="FH45" s="301"/>
      <c r="FI45" s="301"/>
      <c r="FJ45" s="301"/>
      <c r="FK45" s="301"/>
      <c r="FL45" s="301"/>
      <c r="FM45" s="301"/>
      <c r="FN45" s="301"/>
    </row>
    <row r="46" spans="2:170" ht="15" customHeight="1" x14ac:dyDescent="0.25">
      <c r="B46" s="998"/>
      <c r="C46" s="551">
        <f>+C45+1</f>
        <v>34</v>
      </c>
      <c r="D46" s="553" t="s">
        <v>375</v>
      </c>
      <c r="E46" s="464"/>
      <c r="F46" s="464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762"/>
      <c r="R46" s="762"/>
      <c r="S46" s="762"/>
      <c r="T46" s="464"/>
      <c r="U46" s="464"/>
      <c r="V46" s="464"/>
      <c r="W46" s="464"/>
      <c r="X46" s="464"/>
      <c r="Y46" s="464"/>
      <c r="Z46" s="464"/>
      <c r="AA46" s="464"/>
      <c r="AB46" s="464"/>
      <c r="AC46" s="464"/>
      <c r="AD46" s="464"/>
      <c r="AE46" s="552"/>
      <c r="AF46" s="552"/>
      <c r="AG46" s="552"/>
      <c r="AH46" s="112"/>
      <c r="AI46" s="464"/>
      <c r="AJ46" s="464"/>
      <c r="AK46" s="618"/>
      <c r="AL46" s="589"/>
      <c r="AM46" s="589"/>
      <c r="AN46" s="589"/>
      <c r="AO46" s="589"/>
      <c r="AP46" s="618"/>
      <c r="AQ46" s="618"/>
      <c r="AR46" s="618"/>
      <c r="AS46" s="618"/>
      <c r="AT46" s="464"/>
      <c r="AU46" s="464"/>
      <c r="AV46" s="463"/>
      <c r="AW46" s="464"/>
      <c r="AX46" s="464"/>
      <c r="AY46" s="464"/>
      <c r="AZ46" s="464"/>
      <c r="BA46" s="463"/>
      <c r="BB46" s="464"/>
      <c r="BC46" s="464"/>
      <c r="BD46" s="584"/>
      <c r="BE46" s="464"/>
      <c r="BF46" s="464"/>
      <c r="BG46" s="464"/>
      <c r="BH46" s="464"/>
      <c r="BI46" s="464"/>
      <c r="BJ46" s="464"/>
      <c r="BK46" s="464"/>
      <c r="BL46" s="464"/>
      <c r="BM46" s="464"/>
      <c r="BN46" s="464"/>
      <c r="BO46" s="464"/>
      <c r="BP46" s="464"/>
      <c r="BQ46" s="464"/>
      <c r="BR46" s="464"/>
      <c r="BS46" s="464"/>
      <c r="BT46" s="464"/>
      <c r="BU46" s="464"/>
      <c r="BV46" s="464"/>
      <c r="BW46" s="464"/>
      <c r="BX46" s="464"/>
      <c r="BY46" s="464"/>
      <c r="BZ46" s="463"/>
      <c r="CA46" s="464"/>
      <c r="CB46" s="464"/>
      <c r="CC46" s="464"/>
      <c r="CD46" s="464"/>
      <c r="CE46" s="464"/>
      <c r="CF46" s="464"/>
      <c r="CG46" s="464"/>
      <c r="CH46" s="464"/>
      <c r="CI46" s="464"/>
      <c r="CJ46" s="464"/>
      <c r="CK46" s="464"/>
      <c r="CL46" s="464"/>
      <c r="CM46" s="464"/>
      <c r="CN46" s="464"/>
      <c r="CO46" s="464"/>
      <c r="CP46" s="464"/>
      <c r="CQ46" s="464"/>
      <c r="CR46" s="464"/>
      <c r="CS46" s="464"/>
      <c r="CT46" s="464"/>
      <c r="CU46" s="464"/>
      <c r="CV46" s="464"/>
      <c r="CW46" s="464"/>
      <c r="CX46" s="464"/>
      <c r="CY46" s="464"/>
      <c r="CZ46" s="463"/>
      <c r="DA46" s="464"/>
      <c r="DB46" s="464"/>
      <c r="DC46" s="464"/>
      <c r="DD46" s="464"/>
      <c r="DE46" s="464"/>
      <c r="DF46" s="464"/>
      <c r="DG46" s="464"/>
      <c r="DH46" s="464"/>
      <c r="DI46" s="464"/>
      <c r="DJ46" s="464"/>
      <c r="DK46" s="464"/>
      <c r="DL46" s="464"/>
      <c r="DM46" s="464"/>
      <c r="DN46" s="464"/>
      <c r="DO46" s="464"/>
      <c r="DP46" s="464"/>
      <c r="DQ46" s="464"/>
      <c r="DR46" s="464"/>
      <c r="DS46" s="464"/>
      <c r="DT46" s="464"/>
      <c r="DU46" s="464"/>
      <c r="DV46" s="464"/>
      <c r="DW46" s="464"/>
      <c r="DX46" s="464"/>
      <c r="DY46" s="464"/>
      <c r="DZ46" s="464"/>
      <c r="EA46" s="463"/>
      <c r="EB46" s="464"/>
      <c r="EC46" s="464"/>
      <c r="ED46" s="464"/>
      <c r="EE46" s="464"/>
      <c r="EF46" s="464"/>
      <c r="EG46" s="464"/>
      <c r="EH46" s="464"/>
      <c r="EI46" s="464"/>
      <c r="EJ46" s="464"/>
      <c r="EK46" s="464"/>
      <c r="EL46" s="464"/>
      <c r="EM46" s="464"/>
      <c r="EN46" s="464"/>
      <c r="EO46" s="464"/>
      <c r="EP46" s="464"/>
      <c r="EQ46" s="464"/>
      <c r="ER46" s="464"/>
      <c r="ES46" s="464"/>
      <c r="ET46" s="464"/>
      <c r="EU46" s="464"/>
      <c r="EV46" s="464"/>
      <c r="EW46" s="580"/>
      <c r="EX46" s="464"/>
      <c r="EY46" s="464"/>
      <c r="EZ46" s="464"/>
      <c r="FA46" s="464"/>
      <c r="FB46" s="464"/>
      <c r="FC46" s="464"/>
      <c r="FD46" s="464"/>
      <c r="FE46" s="464"/>
      <c r="FF46" s="464"/>
      <c r="FG46" s="301"/>
      <c r="FH46" s="301"/>
      <c r="FI46" s="301"/>
      <c r="FJ46" s="301"/>
      <c r="FK46" s="301"/>
      <c r="FL46" s="301"/>
      <c r="FM46" s="301"/>
      <c r="FN46" s="301"/>
    </row>
    <row r="47" spans="2:170" ht="15" customHeight="1" x14ac:dyDescent="0.25">
      <c r="B47" s="998"/>
      <c r="C47" s="551">
        <f>+C46+1</f>
        <v>35</v>
      </c>
      <c r="D47" s="553" t="s">
        <v>221</v>
      </c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  <c r="S47" s="464"/>
      <c r="T47" s="464"/>
      <c r="U47" s="464"/>
      <c r="V47" s="464"/>
      <c r="W47" s="464"/>
      <c r="X47" s="464"/>
      <c r="Y47" s="464"/>
      <c r="Z47" s="464"/>
      <c r="AA47" s="464"/>
      <c r="AB47" s="464"/>
      <c r="AC47" s="464"/>
      <c r="AD47" s="464"/>
      <c r="AE47" s="552"/>
      <c r="AF47" s="552"/>
      <c r="AG47" s="552"/>
      <c r="AH47" s="112"/>
      <c r="AI47" s="464"/>
      <c r="AJ47" s="464"/>
      <c r="AK47" s="464"/>
      <c r="AL47" s="589"/>
      <c r="AM47" s="589"/>
      <c r="AN47" s="589"/>
      <c r="AO47" s="589"/>
      <c r="AP47" s="464"/>
      <c r="AQ47" s="464"/>
      <c r="AR47" s="464"/>
      <c r="AS47" s="464"/>
      <c r="AT47" s="464"/>
      <c r="AU47" s="464"/>
      <c r="AV47" s="463"/>
      <c r="AW47" s="464"/>
      <c r="AX47" s="464"/>
      <c r="AY47" s="464"/>
      <c r="AZ47" s="464"/>
      <c r="BA47" s="463"/>
      <c r="BB47" s="464"/>
      <c r="BC47" s="464"/>
      <c r="BD47" s="584"/>
      <c r="BE47" s="464"/>
      <c r="BF47" s="464"/>
      <c r="BG47" s="464"/>
      <c r="BH47" s="464"/>
      <c r="BI47" s="464"/>
      <c r="BJ47" s="464"/>
      <c r="BK47" s="464"/>
      <c r="BL47" s="464"/>
      <c r="BM47" s="464"/>
      <c r="BN47" s="464"/>
      <c r="BO47" s="464"/>
      <c r="BP47" s="464"/>
      <c r="BQ47" s="464"/>
      <c r="BR47" s="464"/>
      <c r="BS47" s="464"/>
      <c r="BT47" s="464"/>
      <c r="BU47" s="464"/>
      <c r="BV47" s="464"/>
      <c r="BW47" s="464"/>
      <c r="BX47" s="464"/>
      <c r="BY47" s="464"/>
      <c r="BZ47" s="463"/>
      <c r="CA47" s="464"/>
      <c r="CB47" s="464"/>
      <c r="CC47" s="464"/>
      <c r="CD47" s="464"/>
      <c r="CE47" s="464"/>
      <c r="CF47" s="464"/>
      <c r="CG47" s="464"/>
      <c r="CH47" s="464"/>
      <c r="CI47" s="464"/>
      <c r="CJ47" s="464"/>
      <c r="CK47" s="464"/>
      <c r="CL47" s="464"/>
      <c r="CM47" s="464"/>
      <c r="CN47" s="464"/>
      <c r="CO47" s="464"/>
      <c r="CP47" s="464"/>
      <c r="CQ47" s="464"/>
      <c r="CR47" s="464"/>
      <c r="CS47" s="464"/>
      <c r="CT47" s="464"/>
      <c r="CU47" s="464"/>
      <c r="CV47" s="464"/>
      <c r="CW47" s="464"/>
      <c r="CX47" s="464"/>
      <c r="CY47" s="464"/>
      <c r="CZ47" s="463"/>
      <c r="DA47" s="464"/>
      <c r="DB47" s="464"/>
      <c r="DC47" s="464"/>
      <c r="DD47" s="464"/>
      <c r="DE47" s="464"/>
      <c r="DF47" s="464"/>
      <c r="DG47" s="464"/>
      <c r="DH47" s="464"/>
      <c r="DI47" s="464"/>
      <c r="DJ47" s="464"/>
      <c r="DK47" s="464"/>
      <c r="DL47" s="464"/>
      <c r="DM47" s="464"/>
      <c r="DN47" s="464"/>
      <c r="DO47" s="464"/>
      <c r="DP47" s="464"/>
      <c r="DQ47" s="464"/>
      <c r="DR47" s="464"/>
      <c r="DS47" s="464"/>
      <c r="DT47" s="464"/>
      <c r="DU47" s="464"/>
      <c r="DV47" s="464"/>
      <c r="DW47" s="464"/>
      <c r="DX47" s="464"/>
      <c r="DY47" s="464"/>
      <c r="DZ47" s="464"/>
      <c r="EA47" s="463"/>
      <c r="EB47" s="464"/>
      <c r="EC47" s="464"/>
      <c r="ED47" s="464"/>
      <c r="EE47" s="464"/>
      <c r="EF47" s="464"/>
      <c r="EG47" s="464"/>
      <c r="EH47" s="464"/>
      <c r="EI47" s="464"/>
      <c r="EJ47" s="464"/>
      <c r="EK47" s="464"/>
      <c r="EL47" s="464"/>
      <c r="EM47" s="464"/>
      <c r="EN47" s="464"/>
      <c r="EO47" s="464"/>
      <c r="EP47" s="464"/>
      <c r="EQ47" s="464"/>
      <c r="ER47" s="464"/>
      <c r="ES47" s="464"/>
      <c r="ET47" s="464"/>
      <c r="EU47" s="464"/>
      <c r="EV47" s="464"/>
      <c r="EW47" s="580"/>
      <c r="EX47" s="464"/>
      <c r="EY47" s="464"/>
      <c r="EZ47" s="464"/>
      <c r="FA47" s="464"/>
      <c r="FB47" s="464"/>
      <c r="FC47" s="464"/>
      <c r="FD47" s="464"/>
      <c r="FE47" s="464"/>
      <c r="FF47" s="464"/>
      <c r="FG47" s="301"/>
      <c r="FH47" s="301"/>
      <c r="FI47" s="301"/>
      <c r="FJ47" s="301"/>
      <c r="FK47" s="301"/>
      <c r="FL47" s="301"/>
      <c r="FM47" s="301"/>
      <c r="FN47" s="301"/>
    </row>
    <row r="48" spans="2:170" ht="15" customHeight="1" x14ac:dyDescent="0.25">
      <c r="B48" s="998"/>
      <c r="C48" s="551">
        <f>+C47+1</f>
        <v>36</v>
      </c>
      <c r="D48" s="553" t="s">
        <v>226</v>
      </c>
      <c r="E48" s="464"/>
      <c r="F48" s="464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  <c r="S48" s="464"/>
      <c r="T48" s="464"/>
      <c r="U48" s="566"/>
      <c r="V48" s="566"/>
      <c r="W48" s="464"/>
      <c r="X48" s="464"/>
      <c r="Y48" s="464"/>
      <c r="Z48" s="464"/>
      <c r="AA48" s="568"/>
      <c r="AB48" s="568"/>
      <c r="AC48" s="464"/>
      <c r="AD48" s="464"/>
      <c r="AE48" s="552"/>
      <c r="AF48" s="552"/>
      <c r="AG48" s="744"/>
      <c r="AH48" s="587"/>
      <c r="AI48" s="464"/>
      <c r="AJ48" s="464"/>
      <c r="AK48" s="464"/>
      <c r="AL48" s="464"/>
      <c r="AM48" s="464"/>
      <c r="AN48" s="464"/>
      <c r="AO48" s="464"/>
      <c r="AP48" s="464"/>
      <c r="AQ48" s="464"/>
      <c r="AR48" s="464"/>
      <c r="AS48" s="464"/>
      <c r="AT48" s="464"/>
      <c r="AU48" s="464"/>
      <c r="AV48" s="463"/>
      <c r="AW48" s="464"/>
      <c r="AX48" s="464"/>
      <c r="AY48" s="464"/>
      <c r="AZ48" s="464"/>
      <c r="BA48" s="463"/>
      <c r="BB48" s="464"/>
      <c r="BC48" s="464"/>
      <c r="BD48" s="584"/>
      <c r="BE48" s="464"/>
      <c r="BF48" s="464"/>
      <c r="BG48" s="464"/>
      <c r="BH48" s="464"/>
      <c r="BI48" s="464"/>
      <c r="BJ48" s="464"/>
      <c r="BK48" s="464"/>
      <c r="BL48" s="464"/>
      <c r="BM48" s="464"/>
      <c r="BN48" s="464"/>
      <c r="BO48" s="464"/>
      <c r="BP48" s="464"/>
      <c r="BQ48" s="464"/>
      <c r="BR48" s="464"/>
      <c r="BS48" s="464"/>
      <c r="BT48" s="464"/>
      <c r="BU48" s="464"/>
      <c r="BV48" s="464"/>
      <c r="BW48" s="464"/>
      <c r="BX48" s="464"/>
      <c r="BY48" s="464"/>
      <c r="BZ48" s="463"/>
      <c r="CA48" s="464"/>
      <c r="CB48" s="464"/>
      <c r="CC48" s="464"/>
      <c r="CD48" s="464"/>
      <c r="CE48" s="464"/>
      <c r="CF48" s="464"/>
      <c r="CG48" s="464"/>
      <c r="CH48" s="464"/>
      <c r="CI48" s="464"/>
      <c r="CJ48" s="464"/>
      <c r="CK48" s="464"/>
      <c r="CL48" s="464"/>
      <c r="CM48" s="464"/>
      <c r="CN48" s="464"/>
      <c r="CO48" s="464"/>
      <c r="CP48" s="464"/>
      <c r="CQ48" s="464"/>
      <c r="CR48" s="464"/>
      <c r="CS48" s="464"/>
      <c r="CT48" s="464"/>
      <c r="CU48" s="464"/>
      <c r="CV48" s="464"/>
      <c r="CW48" s="464"/>
      <c r="CX48" s="464"/>
      <c r="CY48" s="464"/>
      <c r="CZ48" s="463"/>
      <c r="DA48" s="464"/>
      <c r="DB48" s="464"/>
      <c r="DC48" s="464"/>
      <c r="DD48" s="464"/>
      <c r="DE48" s="464"/>
      <c r="DF48" s="464"/>
      <c r="DG48" s="464"/>
      <c r="DH48" s="464"/>
      <c r="DI48" s="464"/>
      <c r="DJ48" s="464"/>
      <c r="DK48" s="464"/>
      <c r="DL48" s="464"/>
      <c r="DM48" s="464"/>
      <c r="DN48" s="464"/>
      <c r="DO48" s="464"/>
      <c r="DP48" s="464"/>
      <c r="DQ48" s="464"/>
      <c r="DR48" s="464"/>
      <c r="DS48" s="464"/>
      <c r="DT48" s="464"/>
      <c r="DU48" s="464"/>
      <c r="DV48" s="464"/>
      <c r="DW48" s="464"/>
      <c r="DX48" s="464"/>
      <c r="DY48" s="464"/>
      <c r="DZ48" s="464"/>
      <c r="EA48" s="463"/>
      <c r="EB48" s="464"/>
      <c r="EC48" s="464"/>
      <c r="ED48" s="464"/>
      <c r="EE48" s="464"/>
      <c r="EF48" s="464"/>
      <c r="EG48" s="464"/>
      <c r="EH48" s="464"/>
      <c r="EI48" s="464"/>
      <c r="EJ48" s="464"/>
      <c r="EK48" s="464"/>
      <c r="EL48" s="464"/>
      <c r="EM48" s="464"/>
      <c r="EN48" s="464"/>
      <c r="EO48" s="464"/>
      <c r="EP48" s="464"/>
      <c r="EQ48" s="464"/>
      <c r="ER48" s="464"/>
      <c r="ES48" s="464"/>
      <c r="ET48" s="464"/>
      <c r="EU48" s="464"/>
      <c r="EV48" s="464"/>
      <c r="EW48" s="580"/>
      <c r="EX48" s="464"/>
      <c r="EY48" s="464"/>
      <c r="EZ48" s="464"/>
      <c r="FA48" s="464"/>
      <c r="FB48" s="464"/>
      <c r="FC48" s="464"/>
      <c r="FD48" s="464"/>
      <c r="FE48" s="464"/>
      <c r="FF48" s="464"/>
      <c r="FG48" s="301"/>
      <c r="FH48" s="301"/>
      <c r="FI48" s="301"/>
      <c r="FJ48" s="301"/>
      <c r="FK48" s="301"/>
      <c r="FL48" s="301"/>
      <c r="FM48" s="301"/>
      <c r="FN48" s="301"/>
    </row>
    <row r="49" spans="2:170" ht="15" customHeight="1" x14ac:dyDescent="0.25">
      <c r="B49" s="998"/>
      <c r="C49" s="551">
        <f>C48+1</f>
        <v>37</v>
      </c>
      <c r="D49" s="597" t="s">
        <v>222</v>
      </c>
      <c r="E49" s="464"/>
      <c r="F49" s="464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  <c r="S49" s="464"/>
      <c r="T49" s="464"/>
      <c r="U49" s="464"/>
      <c r="V49" s="589"/>
      <c r="W49" s="589"/>
      <c r="X49" s="589"/>
      <c r="Y49" s="589"/>
      <c r="Z49" s="589"/>
      <c r="AA49" s="589"/>
      <c r="AB49" s="568"/>
      <c r="AC49" s="589"/>
      <c r="AD49" s="589"/>
      <c r="AE49" s="601"/>
      <c r="AF49" s="601"/>
      <c r="AG49" s="601"/>
      <c r="AH49" s="587"/>
      <c r="AI49" s="589"/>
      <c r="AJ49" s="589"/>
      <c r="AK49" s="589"/>
      <c r="AL49" s="589"/>
      <c r="AM49" s="589"/>
      <c r="AN49" s="589"/>
      <c r="AO49" s="589"/>
      <c r="AP49" s="589"/>
      <c r="AQ49" s="589"/>
      <c r="AR49" s="589"/>
      <c r="AS49" s="589"/>
      <c r="AT49" s="589"/>
      <c r="AU49" s="589"/>
      <c r="AV49" s="602"/>
      <c r="AW49" s="589"/>
      <c r="AX49" s="589"/>
      <c r="AY49" s="589"/>
      <c r="AZ49" s="589"/>
      <c r="BA49" s="602"/>
      <c r="BB49" s="589"/>
      <c r="BC49" s="589"/>
      <c r="BD49" s="603"/>
      <c r="BE49" s="589"/>
      <c r="BF49" s="589"/>
      <c r="BG49" s="589"/>
      <c r="BH49" s="589"/>
      <c r="BI49" s="589"/>
      <c r="BJ49" s="589"/>
      <c r="BK49" s="589"/>
      <c r="BL49" s="589"/>
      <c r="BM49" s="589"/>
      <c r="BN49" s="589"/>
      <c r="BO49" s="589"/>
      <c r="BP49" s="589"/>
      <c r="BQ49" s="589"/>
      <c r="BR49" s="589"/>
      <c r="BS49" s="589"/>
      <c r="BT49" s="589"/>
      <c r="BU49" s="589"/>
      <c r="BV49" s="589"/>
      <c r="BW49" s="589"/>
      <c r="BX49" s="589"/>
      <c r="BY49" s="589"/>
      <c r="BZ49" s="602"/>
      <c r="CA49" s="589"/>
      <c r="CB49" s="589"/>
      <c r="CC49" s="589"/>
      <c r="CD49" s="589"/>
      <c r="CE49" s="589"/>
      <c r="CF49" s="589"/>
      <c r="CG49" s="589"/>
      <c r="CH49" s="589"/>
      <c r="CI49" s="589"/>
      <c r="CJ49" s="589"/>
      <c r="CK49" s="589"/>
      <c r="CL49" s="589"/>
      <c r="CM49" s="589"/>
      <c r="CN49" s="589"/>
      <c r="CO49" s="589"/>
      <c r="CP49" s="589"/>
      <c r="CQ49" s="589"/>
      <c r="CR49" s="589"/>
      <c r="CS49" s="589"/>
      <c r="CT49" s="589"/>
      <c r="CU49" s="589"/>
      <c r="CV49" s="589"/>
      <c r="CW49" s="589"/>
      <c r="CX49" s="589"/>
      <c r="CY49" s="589"/>
      <c r="CZ49" s="602"/>
      <c r="DA49" s="589"/>
      <c r="DB49" s="589"/>
      <c r="DC49" s="589"/>
      <c r="DD49" s="589"/>
      <c r="DE49" s="589"/>
      <c r="DF49" s="589"/>
      <c r="DG49" s="589"/>
      <c r="DH49" s="589"/>
      <c r="DI49" s="589"/>
      <c r="DJ49" s="589"/>
      <c r="DK49" s="589"/>
      <c r="DL49" s="589"/>
      <c r="DM49" s="589"/>
      <c r="DN49" s="589"/>
      <c r="DO49" s="589"/>
      <c r="DP49" s="589"/>
      <c r="DQ49" s="589"/>
      <c r="DR49" s="589"/>
      <c r="DS49" s="589"/>
      <c r="DT49" s="589"/>
      <c r="DU49" s="589"/>
      <c r="DV49" s="589"/>
      <c r="DW49" s="589"/>
      <c r="DX49" s="589"/>
      <c r="DY49" s="589"/>
      <c r="DZ49" s="589"/>
      <c r="EA49" s="602"/>
      <c r="EB49" s="589"/>
      <c r="EC49" s="589"/>
      <c r="ED49" s="589"/>
      <c r="EE49" s="589"/>
      <c r="EF49" s="589"/>
      <c r="EG49" s="589"/>
      <c r="EH49" s="589"/>
      <c r="EI49" s="589"/>
      <c r="EJ49" s="589"/>
      <c r="EK49" s="589"/>
      <c r="EL49" s="589"/>
      <c r="EM49" s="589"/>
      <c r="EN49" s="589"/>
      <c r="EO49" s="589"/>
      <c r="EP49" s="589"/>
      <c r="EQ49" s="589"/>
      <c r="ER49" s="589"/>
      <c r="ES49" s="589"/>
      <c r="ET49" s="589"/>
      <c r="EU49" s="589"/>
      <c r="EV49" s="589"/>
      <c r="EW49" s="604"/>
      <c r="EX49" s="589"/>
      <c r="EY49" s="589"/>
      <c r="EZ49" s="589"/>
      <c r="FA49" s="589"/>
      <c r="FB49" s="589"/>
      <c r="FC49" s="589"/>
      <c r="FD49" s="589"/>
      <c r="FE49" s="589"/>
      <c r="FF49" s="589"/>
      <c r="FG49" s="589"/>
      <c r="FH49" s="589"/>
      <c r="FI49" s="589"/>
      <c r="FJ49" s="589"/>
      <c r="FK49" s="589"/>
      <c r="FL49" s="589"/>
      <c r="FM49" s="589"/>
      <c r="FN49" s="589"/>
    </row>
    <row r="50" spans="2:170" ht="15" customHeight="1" x14ac:dyDescent="0.25">
      <c r="B50" s="998"/>
      <c r="C50" s="551">
        <f>C49+1</f>
        <v>38</v>
      </c>
      <c r="D50" s="553" t="s">
        <v>376</v>
      </c>
      <c r="E50" s="464"/>
      <c r="F50" s="464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  <c r="S50" s="464"/>
      <c r="T50" s="464"/>
      <c r="U50" s="464"/>
      <c r="V50" s="589"/>
      <c r="W50" s="589"/>
      <c r="X50" s="589"/>
      <c r="Y50" s="589"/>
      <c r="Z50" s="589"/>
      <c r="AA50" s="589"/>
      <c r="AB50" s="568"/>
      <c r="AC50" s="589"/>
      <c r="AD50" s="589"/>
      <c r="AE50" s="601"/>
      <c r="AF50" s="601"/>
      <c r="AG50" s="601"/>
      <c r="AH50" s="587"/>
      <c r="AI50" s="589"/>
      <c r="AJ50" s="589"/>
      <c r="AK50" s="589"/>
      <c r="AL50" s="589"/>
      <c r="AM50" s="589"/>
      <c r="AN50" s="589"/>
      <c r="AO50" s="589"/>
      <c r="AP50" s="589"/>
      <c r="AQ50" s="589"/>
      <c r="AR50" s="589"/>
      <c r="AS50" s="589"/>
      <c r="AT50" s="589"/>
      <c r="AU50" s="589"/>
      <c r="AV50" s="602"/>
      <c r="AW50" s="589"/>
      <c r="AX50" s="589"/>
      <c r="AY50" s="589"/>
      <c r="AZ50" s="589"/>
      <c r="BA50" s="602"/>
      <c r="BB50" s="589"/>
      <c r="BC50" s="589"/>
      <c r="BD50" s="603"/>
      <c r="BE50" s="589"/>
      <c r="BF50" s="589"/>
      <c r="BG50" s="589"/>
      <c r="BH50" s="589"/>
      <c r="BI50" s="589"/>
      <c r="BJ50" s="589"/>
      <c r="BK50" s="589"/>
      <c r="BL50" s="589"/>
      <c r="BM50" s="589"/>
      <c r="BN50" s="589"/>
      <c r="BO50" s="589"/>
      <c r="BP50" s="589"/>
      <c r="BQ50" s="589"/>
      <c r="BR50" s="589"/>
      <c r="BS50" s="589"/>
      <c r="BT50" s="589"/>
      <c r="BU50" s="589"/>
      <c r="BV50" s="589"/>
      <c r="BW50" s="589"/>
      <c r="BX50" s="589"/>
      <c r="BY50" s="589"/>
      <c r="BZ50" s="602"/>
      <c r="CA50" s="589"/>
      <c r="CB50" s="589"/>
      <c r="CC50" s="589"/>
      <c r="CD50" s="589"/>
      <c r="CE50" s="589"/>
      <c r="CF50" s="589"/>
      <c r="CG50" s="589"/>
      <c r="CH50" s="589"/>
      <c r="CI50" s="589"/>
      <c r="CJ50" s="589"/>
      <c r="CK50" s="589"/>
      <c r="CL50" s="589"/>
      <c r="CM50" s="589"/>
      <c r="CN50" s="589"/>
      <c r="CO50" s="589"/>
      <c r="CP50" s="589"/>
      <c r="CQ50" s="589"/>
      <c r="CR50" s="589"/>
      <c r="CS50" s="589"/>
      <c r="CT50" s="589"/>
      <c r="CU50" s="589"/>
      <c r="CV50" s="589"/>
      <c r="CW50" s="589"/>
      <c r="CX50" s="589"/>
      <c r="CY50" s="589"/>
      <c r="CZ50" s="602"/>
      <c r="DA50" s="589"/>
      <c r="DB50" s="589"/>
      <c r="DC50" s="589"/>
      <c r="DD50" s="589"/>
      <c r="DE50" s="589"/>
      <c r="DF50" s="589"/>
      <c r="DG50" s="589"/>
      <c r="DH50" s="589"/>
      <c r="DI50" s="589"/>
      <c r="DJ50" s="589"/>
      <c r="DK50" s="589"/>
      <c r="DL50" s="589"/>
      <c r="DM50" s="589"/>
      <c r="DN50" s="589"/>
      <c r="DO50" s="589"/>
      <c r="DP50" s="589"/>
      <c r="DQ50" s="589"/>
      <c r="DR50" s="589"/>
      <c r="DS50" s="589"/>
      <c r="DT50" s="589"/>
      <c r="DU50" s="589"/>
      <c r="DV50" s="589"/>
      <c r="DW50" s="589"/>
      <c r="DX50" s="589"/>
      <c r="DY50" s="589"/>
      <c r="DZ50" s="589"/>
      <c r="EA50" s="602"/>
      <c r="EB50" s="589"/>
      <c r="EC50" s="589"/>
      <c r="ED50" s="589"/>
      <c r="EE50" s="589"/>
      <c r="EF50" s="589"/>
      <c r="EG50" s="589"/>
      <c r="EH50" s="589"/>
      <c r="EI50" s="589"/>
      <c r="EJ50" s="589"/>
      <c r="EK50" s="589"/>
      <c r="EL50" s="589"/>
      <c r="EM50" s="589"/>
      <c r="EN50" s="589"/>
      <c r="EO50" s="589"/>
      <c r="EP50" s="589"/>
      <c r="EQ50" s="589"/>
      <c r="ER50" s="589"/>
      <c r="ES50" s="589"/>
      <c r="ET50" s="589"/>
      <c r="EU50" s="589"/>
      <c r="EV50" s="589"/>
      <c r="EW50" s="604"/>
      <c r="EX50" s="589"/>
      <c r="EY50" s="589"/>
      <c r="EZ50" s="589"/>
      <c r="FA50" s="589"/>
      <c r="FB50" s="589"/>
      <c r="FC50" s="589"/>
      <c r="FD50" s="589"/>
      <c r="FE50" s="589"/>
      <c r="FF50" s="589"/>
      <c r="FG50" s="589"/>
      <c r="FH50" s="589"/>
      <c r="FI50" s="589"/>
      <c r="FJ50" s="589"/>
      <c r="FK50" s="589"/>
      <c r="FL50" s="589"/>
      <c r="FM50" s="589"/>
      <c r="FN50" s="589"/>
    </row>
    <row r="51" spans="2:170" ht="15" customHeight="1" x14ac:dyDescent="0.25">
      <c r="B51" s="998"/>
      <c r="C51" s="551">
        <f>C50+1</f>
        <v>39</v>
      </c>
      <c r="D51" s="553" t="s">
        <v>216</v>
      </c>
      <c r="E51" s="464"/>
      <c r="F51" s="464"/>
      <c r="G51" s="464"/>
      <c r="H51" s="464"/>
      <c r="I51" s="464"/>
      <c r="J51" s="464"/>
      <c r="K51" s="464"/>
      <c r="L51" s="464"/>
      <c r="M51" s="464"/>
      <c r="N51" s="464"/>
      <c r="O51" s="464"/>
      <c r="P51" s="464"/>
      <c r="Q51" s="464"/>
      <c r="R51" s="464"/>
      <c r="S51" s="464"/>
      <c r="T51" s="464"/>
      <c r="U51" s="464"/>
      <c r="V51" s="589"/>
      <c r="W51" s="464"/>
      <c r="X51" s="464"/>
      <c r="Y51" s="464"/>
      <c r="Z51" s="464"/>
      <c r="AA51" s="464"/>
      <c r="AB51" s="464"/>
      <c r="AC51" s="464"/>
      <c r="AD51" s="464"/>
      <c r="AE51" s="552"/>
      <c r="AF51" s="552"/>
      <c r="AG51" s="552"/>
      <c r="AH51" s="112"/>
      <c r="AI51" s="464"/>
      <c r="AJ51" s="464"/>
      <c r="AK51" s="464"/>
      <c r="AL51" s="464"/>
      <c r="AM51" s="464"/>
      <c r="AN51" s="464"/>
      <c r="AO51" s="464"/>
      <c r="AP51" s="464"/>
      <c r="AQ51" s="464"/>
      <c r="AR51" s="464"/>
      <c r="AS51" s="464"/>
      <c r="AT51" s="464"/>
      <c r="AU51" s="464"/>
      <c r="AV51" s="463"/>
      <c r="AW51" s="464"/>
      <c r="AX51" s="464"/>
      <c r="AY51" s="464"/>
      <c r="AZ51" s="464"/>
      <c r="BA51" s="463"/>
      <c r="BB51" s="464"/>
      <c r="BC51" s="464"/>
      <c r="BD51" s="584"/>
      <c r="BE51" s="464"/>
      <c r="BF51" s="464"/>
      <c r="BG51" s="464"/>
      <c r="BH51" s="464"/>
      <c r="BI51" s="464"/>
      <c r="BJ51" s="464"/>
      <c r="BK51" s="464"/>
      <c r="BL51" s="464"/>
      <c r="BM51" s="464"/>
      <c r="BN51" s="464"/>
      <c r="BO51" s="464"/>
      <c r="BP51" s="464"/>
      <c r="BQ51" s="464"/>
      <c r="BR51" s="464"/>
      <c r="BS51" s="464"/>
      <c r="BT51" s="464"/>
      <c r="BU51" s="589"/>
      <c r="BV51" s="464"/>
      <c r="BW51" s="464"/>
      <c r="BX51" s="464"/>
      <c r="BY51" s="464"/>
      <c r="BZ51" s="463"/>
      <c r="CA51" s="464"/>
      <c r="CB51" s="464"/>
      <c r="CC51" s="464"/>
      <c r="CD51" s="464"/>
      <c r="CE51" s="464"/>
      <c r="CF51" s="464"/>
      <c r="CG51" s="464"/>
      <c r="CH51" s="464"/>
      <c r="CI51" s="464"/>
      <c r="CJ51" s="464"/>
      <c r="CK51" s="464"/>
      <c r="CL51" s="464"/>
      <c r="CM51" s="464"/>
      <c r="CN51" s="464"/>
      <c r="CO51" s="464"/>
      <c r="CP51" s="464"/>
      <c r="CQ51" s="464"/>
      <c r="CR51" s="464"/>
      <c r="CS51" s="464"/>
      <c r="CT51" s="464"/>
      <c r="CU51" s="464"/>
      <c r="CV51" s="464"/>
      <c r="CW51" s="464"/>
      <c r="CX51" s="464"/>
      <c r="CY51" s="464"/>
      <c r="CZ51" s="463"/>
      <c r="DA51" s="464"/>
      <c r="DB51" s="464"/>
      <c r="DC51" s="464"/>
      <c r="DD51" s="464"/>
      <c r="DE51" s="464"/>
      <c r="DF51" s="464"/>
      <c r="DG51" s="464"/>
      <c r="DH51" s="464"/>
      <c r="DI51" s="464"/>
      <c r="DJ51" s="464"/>
      <c r="DK51" s="464"/>
      <c r="DL51" s="464"/>
      <c r="DM51" s="464"/>
      <c r="DN51" s="464"/>
      <c r="DO51" s="464"/>
      <c r="DP51" s="464"/>
      <c r="DQ51" s="464"/>
      <c r="DR51" s="464"/>
      <c r="DS51" s="464"/>
      <c r="DT51" s="464"/>
      <c r="DU51" s="589"/>
      <c r="DV51" s="464"/>
      <c r="DW51" s="464"/>
      <c r="DX51" s="464"/>
      <c r="DY51" s="464"/>
      <c r="DZ51" s="464"/>
      <c r="EA51" s="463"/>
      <c r="EB51" s="464"/>
      <c r="EC51" s="464"/>
      <c r="ED51" s="464"/>
      <c r="EE51" s="464"/>
      <c r="EF51" s="464"/>
      <c r="EG51" s="464"/>
      <c r="EH51" s="464"/>
      <c r="EI51" s="464"/>
      <c r="EJ51" s="464"/>
      <c r="EK51" s="464"/>
      <c r="EL51" s="464"/>
      <c r="EM51" s="464"/>
      <c r="EN51" s="464"/>
      <c r="EO51" s="464"/>
      <c r="EP51" s="464"/>
      <c r="EQ51" s="464"/>
      <c r="ER51" s="464"/>
      <c r="ES51" s="464"/>
      <c r="ET51" s="464"/>
      <c r="EU51" s="464"/>
      <c r="EV51" s="464"/>
      <c r="EW51" s="580"/>
      <c r="EX51" s="464"/>
      <c r="EY51" s="464"/>
      <c r="EZ51" s="464"/>
      <c r="FA51" s="464"/>
      <c r="FB51" s="464"/>
      <c r="FC51" s="464"/>
      <c r="FD51" s="464"/>
      <c r="FE51" s="464"/>
      <c r="FF51" s="464"/>
      <c r="FG51" s="301"/>
      <c r="FH51" s="301"/>
      <c r="FI51" s="301"/>
      <c r="FJ51" s="301"/>
      <c r="FK51" s="301"/>
      <c r="FL51" s="301"/>
      <c r="FM51" s="301"/>
      <c r="FN51" s="301"/>
    </row>
    <row r="52" spans="2:170" x14ac:dyDescent="0.25">
      <c r="B52" s="998"/>
      <c r="C52" s="569">
        <f>C51+1</f>
        <v>40</v>
      </c>
      <c r="D52" s="553" t="s">
        <v>223</v>
      </c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4"/>
      <c r="X52" s="464"/>
      <c r="Y52" s="464" t="s">
        <v>135</v>
      </c>
      <c r="Z52" s="464"/>
      <c r="AA52" s="464"/>
      <c r="AB52" s="464"/>
      <c r="AC52" s="464"/>
      <c r="AD52" s="464"/>
      <c r="AE52" s="464"/>
      <c r="AF52" s="464"/>
      <c r="AG52" s="464"/>
      <c r="AH52" s="464"/>
      <c r="AI52" s="464"/>
      <c r="AJ52" s="464"/>
      <c r="AK52" s="464"/>
      <c r="AL52" s="464"/>
      <c r="AM52" s="464"/>
      <c r="AN52" s="464"/>
      <c r="AO52" s="464"/>
      <c r="AP52" s="464"/>
      <c r="AQ52" s="566"/>
      <c r="AR52" s="464"/>
      <c r="AS52" s="464"/>
      <c r="AT52" s="464"/>
      <c r="AU52" s="464"/>
      <c r="AV52" s="568"/>
      <c r="AW52" s="464"/>
      <c r="AX52" s="464"/>
      <c r="AY52" s="464"/>
      <c r="AZ52" s="464"/>
      <c r="BA52" s="580"/>
      <c r="BB52" s="464"/>
      <c r="BC52" s="464"/>
      <c r="BD52" s="586"/>
      <c r="BE52" s="464"/>
      <c r="BF52" s="464"/>
      <c r="BG52" s="464"/>
      <c r="BH52" s="464"/>
      <c r="BI52" s="464"/>
      <c r="BJ52" s="464"/>
      <c r="BK52" s="464"/>
      <c r="BL52" s="464"/>
      <c r="BM52" s="464"/>
      <c r="BN52" s="464"/>
      <c r="BO52" s="464"/>
      <c r="BP52" s="464"/>
      <c r="BQ52" s="566"/>
      <c r="BR52" s="464"/>
      <c r="BS52" s="464"/>
      <c r="BT52" s="464"/>
      <c r="BU52" s="464"/>
      <c r="BV52" s="568"/>
      <c r="BW52" s="464"/>
      <c r="BX52" s="464"/>
      <c r="BY52" s="464"/>
      <c r="BZ52" s="580"/>
      <c r="CA52" s="464"/>
      <c r="CB52" s="464"/>
      <c r="CC52" s="464"/>
      <c r="CD52" s="586"/>
      <c r="CE52" s="464"/>
      <c r="CF52" s="464"/>
      <c r="CG52" s="464"/>
      <c r="CH52" s="464"/>
      <c r="CI52" s="464"/>
      <c r="CJ52" s="464"/>
      <c r="CK52" s="464"/>
      <c r="CL52" s="464"/>
      <c r="CM52" s="464"/>
      <c r="CN52" s="464"/>
      <c r="CO52" s="464"/>
      <c r="CP52" s="464"/>
      <c r="CQ52" s="566"/>
      <c r="CR52" s="464"/>
      <c r="CS52" s="464"/>
      <c r="CT52" s="464"/>
      <c r="CU52" s="464"/>
      <c r="CV52" s="568"/>
      <c r="CW52" s="464"/>
      <c r="CX52" s="464"/>
      <c r="CY52" s="464"/>
      <c r="CZ52" s="580"/>
      <c r="DA52" s="464"/>
      <c r="DB52" s="464"/>
      <c r="DC52" s="464"/>
      <c r="DD52" s="586"/>
      <c r="DE52" s="464"/>
      <c r="DF52" s="464"/>
      <c r="DG52" s="464"/>
      <c r="DH52" s="464"/>
      <c r="DI52" s="464"/>
      <c r="DJ52" s="464"/>
      <c r="DK52" s="464"/>
      <c r="DL52" s="464"/>
      <c r="DM52" s="464"/>
      <c r="DN52" s="464"/>
      <c r="DO52" s="464"/>
      <c r="DP52" s="464"/>
      <c r="DQ52" s="566"/>
      <c r="DR52" s="464"/>
      <c r="DS52" s="464"/>
      <c r="DT52" s="464"/>
      <c r="DU52" s="464"/>
      <c r="DV52" s="568"/>
      <c r="DW52" s="464"/>
      <c r="DX52" s="464"/>
      <c r="DY52" s="464"/>
      <c r="DZ52" s="464"/>
      <c r="EA52" s="580"/>
      <c r="EB52" s="464"/>
      <c r="EC52" s="464"/>
      <c r="ED52" s="586"/>
      <c r="EE52" s="464"/>
      <c r="EF52" s="464"/>
      <c r="EG52" s="464"/>
      <c r="EH52" s="464"/>
      <c r="EI52" s="464"/>
      <c r="EJ52" s="464"/>
      <c r="EK52" s="464"/>
      <c r="EL52" s="464"/>
      <c r="EM52" s="464"/>
      <c r="EN52" s="464"/>
      <c r="EO52" s="464"/>
      <c r="EP52" s="464"/>
      <c r="EQ52" s="566"/>
      <c r="ER52" s="464"/>
      <c r="ES52" s="464"/>
      <c r="ET52" s="464"/>
      <c r="EU52" s="464"/>
      <c r="EV52" s="568"/>
      <c r="EW52" s="464"/>
      <c r="EX52" s="464"/>
      <c r="EY52" s="464"/>
      <c r="EZ52" s="464"/>
      <c r="FA52" s="464"/>
      <c r="FB52" s="464"/>
      <c r="FC52" s="464"/>
      <c r="FD52" s="586"/>
      <c r="FE52" s="464"/>
      <c r="FF52" s="464"/>
      <c r="FG52" s="301"/>
      <c r="FH52" s="301"/>
      <c r="FI52" s="301"/>
      <c r="FJ52" s="301"/>
      <c r="FK52" s="301"/>
      <c r="FL52" s="301"/>
      <c r="FM52" s="301"/>
      <c r="FN52" s="301"/>
    </row>
    <row r="53" spans="2:170" x14ac:dyDescent="0.25">
      <c r="B53" s="998"/>
      <c r="C53" s="569">
        <f t="shared" ref="C53:C60" si="39">C52+1</f>
        <v>41</v>
      </c>
      <c r="D53" s="743" t="s">
        <v>202</v>
      </c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  <c r="Q53" s="464"/>
      <c r="R53" s="464"/>
      <c r="S53" s="464"/>
      <c r="T53" s="464"/>
      <c r="U53" s="464"/>
      <c r="V53" s="464"/>
      <c r="W53" s="464"/>
      <c r="X53" s="464"/>
      <c r="Y53" s="464"/>
      <c r="Z53" s="464"/>
      <c r="AA53" s="464"/>
      <c r="AB53" s="464"/>
      <c r="AC53" s="464"/>
      <c r="AD53" s="464"/>
      <c r="AE53" s="464"/>
      <c r="AF53" s="464"/>
      <c r="AG53" s="464"/>
      <c r="AH53" s="464"/>
      <c r="AI53" s="464"/>
      <c r="AJ53" s="464"/>
      <c r="AK53" s="464"/>
      <c r="AL53" s="464"/>
      <c r="AM53" s="464"/>
      <c r="AN53" s="464"/>
      <c r="AO53" s="464"/>
      <c r="AP53" s="464"/>
      <c r="AQ53" s="566"/>
      <c r="AR53" s="566"/>
      <c r="AS53" s="464"/>
      <c r="AT53" s="464"/>
      <c r="AU53" s="464"/>
      <c r="AV53" s="568"/>
      <c r="AW53" s="582"/>
      <c r="AX53" s="464"/>
      <c r="AY53" s="464"/>
      <c r="AZ53" s="464"/>
      <c r="BA53" s="112"/>
      <c r="BB53" s="464"/>
      <c r="BC53" s="464"/>
      <c r="BD53" s="586"/>
      <c r="BE53" s="586"/>
      <c r="BF53" s="464"/>
      <c r="BG53" s="464"/>
      <c r="BH53" s="464"/>
      <c r="BI53" s="464"/>
      <c r="BJ53" s="464"/>
      <c r="BK53" s="464"/>
      <c r="BL53" s="464"/>
      <c r="BM53" s="464"/>
      <c r="BN53" s="464"/>
      <c r="BO53" s="464"/>
      <c r="BP53" s="464"/>
      <c r="BQ53" s="566"/>
      <c r="BR53" s="566"/>
      <c r="BS53" s="464"/>
      <c r="BT53" s="464"/>
      <c r="BU53" s="464"/>
      <c r="BV53" s="568"/>
      <c r="BW53" s="582"/>
      <c r="BX53" s="464"/>
      <c r="BY53" s="464"/>
      <c r="BZ53" s="112"/>
      <c r="CA53" s="464"/>
      <c r="CB53" s="464"/>
      <c r="CC53" s="464"/>
      <c r="CD53" s="586"/>
      <c r="CE53" s="586"/>
      <c r="CF53" s="464"/>
      <c r="CG53" s="464"/>
      <c r="CH53" s="464"/>
      <c r="CI53" s="464"/>
      <c r="CJ53" s="464"/>
      <c r="CK53" s="464"/>
      <c r="CL53" s="464"/>
      <c r="CM53" s="464"/>
      <c r="CN53" s="464"/>
      <c r="CO53" s="464"/>
      <c r="CP53" s="464"/>
      <c r="CQ53" s="566"/>
      <c r="CR53" s="566"/>
      <c r="CS53" s="464"/>
      <c r="CT53" s="464"/>
      <c r="CU53" s="464"/>
      <c r="CV53" s="568"/>
      <c r="CW53" s="582"/>
      <c r="CX53" s="464"/>
      <c r="CY53" s="464"/>
      <c r="CZ53" s="112"/>
      <c r="DA53" s="464"/>
      <c r="DB53" s="464"/>
      <c r="DC53" s="464"/>
      <c r="DD53" s="586"/>
      <c r="DE53" s="586"/>
      <c r="DF53" s="464"/>
      <c r="DG53" s="464"/>
      <c r="DH53" s="464"/>
      <c r="DI53" s="464"/>
      <c r="DJ53" s="464"/>
      <c r="DK53" s="464"/>
      <c r="DL53" s="464"/>
      <c r="DM53" s="464"/>
      <c r="DN53" s="464"/>
      <c r="DO53" s="464"/>
      <c r="DP53" s="464"/>
      <c r="DQ53" s="566"/>
      <c r="DR53" s="566"/>
      <c r="DS53" s="464"/>
      <c r="DT53" s="464"/>
      <c r="DU53" s="464"/>
      <c r="DV53" s="568"/>
      <c r="DW53" s="582"/>
      <c r="DX53" s="464"/>
      <c r="DY53" s="464"/>
      <c r="DZ53" s="464"/>
      <c r="EA53" s="112"/>
      <c r="EB53" s="464"/>
      <c r="EC53" s="464"/>
      <c r="ED53" s="586"/>
      <c r="EE53" s="586"/>
      <c r="EF53" s="464"/>
      <c r="EG53" s="464"/>
      <c r="EH53" s="464"/>
      <c r="EI53" s="464"/>
      <c r="EJ53" s="464"/>
      <c r="EK53" s="464"/>
      <c r="EL53" s="464"/>
      <c r="EM53" s="464"/>
      <c r="EN53" s="464"/>
      <c r="EO53" s="464"/>
      <c r="EP53" s="464"/>
      <c r="EQ53" s="566"/>
      <c r="ER53" s="566"/>
      <c r="ES53" s="464"/>
      <c r="ET53" s="464"/>
      <c r="EU53" s="464"/>
      <c r="EV53" s="568"/>
      <c r="EW53" s="582"/>
      <c r="EX53" s="464"/>
      <c r="EY53" s="464"/>
      <c r="EZ53" s="464"/>
      <c r="FA53" s="464"/>
      <c r="FB53" s="464"/>
      <c r="FC53" s="464"/>
      <c r="FD53" s="586"/>
      <c r="FE53" s="586"/>
      <c r="FF53" s="464"/>
      <c r="FG53" s="301"/>
      <c r="FH53" s="301"/>
      <c r="FI53" s="301"/>
      <c r="FJ53" s="301"/>
      <c r="FK53" s="301"/>
      <c r="FL53" s="301"/>
      <c r="FM53" s="301"/>
      <c r="FN53" s="301"/>
    </row>
    <row r="54" spans="2:170" x14ac:dyDescent="0.25">
      <c r="B54" s="998"/>
      <c r="C54" s="569">
        <f t="shared" si="39"/>
        <v>42</v>
      </c>
      <c r="D54" s="553" t="s">
        <v>373</v>
      </c>
      <c r="E54" s="464"/>
      <c r="F54" s="464"/>
      <c r="G54" s="464"/>
      <c r="H54" s="464"/>
      <c r="I54" s="464"/>
      <c r="J54" s="464"/>
      <c r="K54" s="464"/>
      <c r="L54" s="464"/>
      <c r="M54" s="464"/>
      <c r="N54" s="464"/>
      <c r="O54" s="464"/>
      <c r="P54" s="464"/>
      <c r="Q54" s="464"/>
      <c r="R54" s="464"/>
      <c r="S54" s="464"/>
      <c r="T54" s="464"/>
      <c r="U54" s="464"/>
      <c r="V54" s="464"/>
      <c r="W54" s="464"/>
      <c r="X54" s="464"/>
      <c r="Y54" s="464"/>
      <c r="Z54" s="464"/>
      <c r="AA54" s="464"/>
      <c r="AB54" s="464"/>
      <c r="AC54" s="464"/>
      <c r="AD54" s="464"/>
      <c r="AE54" s="464"/>
      <c r="AF54" s="464"/>
      <c r="AG54" s="464"/>
      <c r="AH54" s="464"/>
      <c r="AI54" s="464"/>
      <c r="AJ54" s="464"/>
      <c r="AK54" s="464"/>
      <c r="AL54" s="464"/>
      <c r="AM54" s="464"/>
      <c r="AN54" s="464"/>
      <c r="AO54" s="464"/>
      <c r="AP54" s="464"/>
      <c r="AQ54" s="464"/>
      <c r="AR54" s="464"/>
      <c r="AS54" s="566"/>
      <c r="AT54" s="464"/>
      <c r="AU54" s="464"/>
      <c r="AV54" s="464"/>
      <c r="AW54" s="464"/>
      <c r="AX54" s="568"/>
      <c r="AY54" s="464"/>
      <c r="AZ54" s="464"/>
      <c r="BA54" s="464"/>
      <c r="BB54" s="464"/>
      <c r="BC54" s="464"/>
      <c r="BD54" s="464"/>
      <c r="BE54" s="464"/>
      <c r="BF54" s="586"/>
      <c r="BG54" s="464"/>
      <c r="BH54" s="464"/>
      <c r="BI54" s="464"/>
      <c r="BJ54" s="464"/>
      <c r="BK54" s="464"/>
      <c r="BL54" s="464"/>
      <c r="BM54" s="464"/>
      <c r="BN54" s="464"/>
      <c r="BO54" s="464"/>
      <c r="BP54" s="464"/>
      <c r="BQ54" s="464"/>
      <c r="BR54" s="464"/>
      <c r="BS54" s="566"/>
      <c r="BT54" s="464"/>
      <c r="BU54" s="464"/>
      <c r="BV54" s="464"/>
      <c r="BW54" s="464"/>
      <c r="BX54" s="568"/>
      <c r="BY54" s="464"/>
      <c r="BZ54" s="464"/>
      <c r="CA54" s="464"/>
      <c r="CB54" s="464"/>
      <c r="CC54" s="464"/>
      <c r="CD54" s="464"/>
      <c r="CE54" s="464"/>
      <c r="CF54" s="586"/>
      <c r="CG54" s="464"/>
      <c r="CH54" s="464"/>
      <c r="CI54" s="464"/>
      <c r="CJ54" s="464"/>
      <c r="CK54" s="464"/>
      <c r="CL54" s="464"/>
      <c r="CM54" s="464"/>
      <c r="CN54" s="464"/>
      <c r="CO54" s="464"/>
      <c r="CP54" s="464"/>
      <c r="CQ54" s="464"/>
      <c r="CR54" s="464"/>
      <c r="CS54" s="566"/>
      <c r="CT54" s="464"/>
      <c r="CU54" s="464"/>
      <c r="CV54" s="464"/>
      <c r="CW54" s="464"/>
      <c r="CX54" s="568"/>
      <c r="CY54" s="464"/>
      <c r="CZ54" s="464"/>
      <c r="DA54" s="464"/>
      <c r="DB54" s="464"/>
      <c r="DC54" s="464"/>
      <c r="DD54" s="464"/>
      <c r="DE54" s="464"/>
      <c r="DF54" s="586"/>
      <c r="DG54" s="464"/>
      <c r="DH54" s="464"/>
      <c r="DI54" s="464"/>
      <c r="DJ54" s="464"/>
      <c r="DK54" s="464"/>
      <c r="DL54" s="464"/>
      <c r="DM54" s="464"/>
      <c r="DN54" s="464"/>
      <c r="DO54" s="464"/>
      <c r="DP54" s="464"/>
      <c r="DQ54" s="464"/>
      <c r="DR54" s="464"/>
      <c r="DS54" s="566"/>
      <c r="DT54" s="464"/>
      <c r="DU54" s="464"/>
      <c r="DV54" s="464"/>
      <c r="DW54" s="464"/>
      <c r="DX54" s="568"/>
      <c r="DY54" s="464"/>
      <c r="DZ54" s="464"/>
      <c r="EA54" s="464"/>
      <c r="EB54" s="464"/>
      <c r="EC54" s="464"/>
      <c r="ED54" s="464"/>
      <c r="EE54" s="464"/>
      <c r="EF54" s="586"/>
      <c r="EG54" s="464"/>
      <c r="EH54" s="464"/>
      <c r="EI54" s="464"/>
      <c r="EJ54" s="464"/>
      <c r="EK54" s="464"/>
      <c r="EL54" s="464"/>
      <c r="EM54" s="464"/>
      <c r="EN54" s="464"/>
      <c r="EO54" s="464"/>
      <c r="EP54" s="464"/>
      <c r="EQ54" s="464"/>
      <c r="ER54" s="464"/>
      <c r="ES54" s="566"/>
      <c r="ET54" s="464"/>
      <c r="EU54" s="464"/>
      <c r="EV54" s="464"/>
      <c r="EW54" s="464"/>
      <c r="EX54" s="568"/>
      <c r="EY54" s="464"/>
      <c r="EZ54" s="464"/>
      <c r="FA54" s="464"/>
      <c r="FB54" s="464"/>
      <c r="FC54" s="464"/>
      <c r="FD54" s="464"/>
      <c r="FE54" s="464"/>
      <c r="FF54" s="586"/>
      <c r="FG54" s="301"/>
      <c r="FH54" s="301"/>
      <c r="FI54" s="301"/>
      <c r="FJ54" s="301"/>
      <c r="FK54" s="301"/>
      <c r="FL54" s="301"/>
      <c r="FM54" s="301"/>
      <c r="FN54" s="301"/>
    </row>
    <row r="55" spans="2:170" x14ac:dyDescent="0.25">
      <c r="B55" s="998"/>
      <c r="C55" s="569">
        <f t="shared" si="39"/>
        <v>43</v>
      </c>
      <c r="D55" s="554" t="s">
        <v>203</v>
      </c>
      <c r="E55" s="555"/>
      <c r="F55" s="464"/>
      <c r="G55" s="555"/>
      <c r="H55" s="464"/>
      <c r="I55" s="464"/>
      <c r="J55" s="555"/>
      <c r="K55" s="464"/>
      <c r="L55" s="555"/>
      <c r="M55" s="464"/>
      <c r="N55" s="464"/>
      <c r="O55" s="464"/>
      <c r="P55" s="464"/>
      <c r="Q55" s="464"/>
      <c r="R55" s="464"/>
      <c r="S55" s="464"/>
      <c r="T55" s="464"/>
      <c r="U55" s="464"/>
      <c r="V55" s="464"/>
      <c r="W55" s="464"/>
      <c r="X55" s="464"/>
      <c r="Y55" s="464"/>
      <c r="Z55" s="464"/>
      <c r="AA55" s="464"/>
      <c r="AB55" s="464"/>
      <c r="AC55" s="464"/>
      <c r="AD55" s="464"/>
      <c r="AE55" s="464"/>
      <c r="AF55" s="464"/>
      <c r="AG55" s="464"/>
      <c r="AH55" s="464"/>
      <c r="AI55" s="464"/>
      <c r="AJ55" s="464"/>
      <c r="AK55" s="464"/>
      <c r="AL55" s="464"/>
      <c r="AM55" s="464"/>
      <c r="AN55" s="464"/>
      <c r="AO55" s="464"/>
      <c r="AP55" s="464"/>
      <c r="AQ55" s="464"/>
      <c r="AR55" s="464"/>
      <c r="AS55" s="566"/>
      <c r="AT55" s="464"/>
      <c r="AU55" s="464"/>
      <c r="AV55" s="464"/>
      <c r="AW55" s="464"/>
      <c r="AX55" s="568"/>
      <c r="AY55" s="464"/>
      <c r="AZ55" s="112"/>
      <c r="BA55" s="112"/>
      <c r="BB55" s="464"/>
      <c r="BC55" s="464"/>
      <c r="BD55" s="464"/>
      <c r="BE55" s="464"/>
      <c r="BF55" s="586"/>
      <c r="BG55" s="464"/>
      <c r="BH55" s="464"/>
      <c r="BI55" s="464"/>
      <c r="BJ55" s="464"/>
      <c r="BK55" s="464"/>
      <c r="BL55" s="464"/>
      <c r="BM55" s="464"/>
      <c r="BN55" s="464"/>
      <c r="BO55" s="464"/>
      <c r="BP55" s="464"/>
      <c r="BQ55" s="464"/>
      <c r="BR55" s="464"/>
      <c r="BS55" s="566"/>
      <c r="BT55" s="464"/>
      <c r="BU55" s="464"/>
      <c r="BV55" s="464"/>
      <c r="BW55" s="464"/>
      <c r="BX55" s="568"/>
      <c r="BY55" s="464"/>
      <c r="BZ55" s="112"/>
      <c r="CA55" s="464"/>
      <c r="CB55" s="464"/>
      <c r="CC55" s="464"/>
      <c r="CD55" s="464"/>
      <c r="CE55" s="464"/>
      <c r="CF55" s="586"/>
      <c r="CG55" s="464"/>
      <c r="CH55" s="464"/>
      <c r="CI55" s="464"/>
      <c r="CJ55" s="464"/>
      <c r="CK55" s="464"/>
      <c r="CL55" s="464"/>
      <c r="CM55" s="464"/>
      <c r="CN55" s="464"/>
      <c r="CO55" s="464"/>
      <c r="CP55" s="464"/>
      <c r="CQ55" s="464"/>
      <c r="CR55" s="464"/>
      <c r="CS55" s="566"/>
      <c r="CT55" s="464"/>
      <c r="CU55" s="464"/>
      <c r="CV55" s="464"/>
      <c r="CW55" s="464"/>
      <c r="CX55" s="568"/>
      <c r="CY55" s="464"/>
      <c r="CZ55" s="112"/>
      <c r="DA55" s="464"/>
      <c r="DB55" s="464"/>
      <c r="DC55" s="464"/>
      <c r="DD55" s="464"/>
      <c r="DE55" s="464"/>
      <c r="DF55" s="586"/>
      <c r="DG55" s="464"/>
      <c r="DH55" s="464"/>
      <c r="DI55" s="464"/>
      <c r="DJ55" s="464"/>
      <c r="DK55" s="464"/>
      <c r="DL55" s="464"/>
      <c r="DM55" s="464"/>
      <c r="DN55" s="464"/>
      <c r="DO55" s="464"/>
      <c r="DP55" s="464"/>
      <c r="DQ55" s="464"/>
      <c r="DR55" s="464"/>
      <c r="DS55" s="566"/>
      <c r="DT55" s="464"/>
      <c r="DU55" s="464"/>
      <c r="DV55" s="464"/>
      <c r="DW55" s="464"/>
      <c r="DX55" s="568"/>
      <c r="DY55" s="464"/>
      <c r="DZ55" s="464"/>
      <c r="EA55" s="464"/>
      <c r="EB55" s="464"/>
      <c r="EC55" s="464"/>
      <c r="ED55" s="464"/>
      <c r="EE55" s="464"/>
      <c r="EF55" s="586"/>
      <c r="EG55" s="464"/>
      <c r="EH55" s="464"/>
      <c r="EI55" s="464"/>
      <c r="EJ55" s="464"/>
      <c r="EK55" s="464"/>
      <c r="EL55" s="464"/>
      <c r="EM55" s="464"/>
      <c r="EN55" s="464"/>
      <c r="EO55" s="464"/>
      <c r="EP55" s="464"/>
      <c r="EQ55" s="464"/>
      <c r="ER55" s="464"/>
      <c r="ES55" s="566"/>
      <c r="ET55" s="464"/>
      <c r="EU55" s="464"/>
      <c r="EV55" s="464"/>
      <c r="EW55" s="464"/>
      <c r="EX55" s="568"/>
      <c r="EY55" s="464"/>
      <c r="EZ55" s="464"/>
      <c r="FA55" s="464"/>
      <c r="FB55" s="464"/>
      <c r="FC55" s="464"/>
      <c r="FD55" s="464"/>
      <c r="FE55" s="464"/>
      <c r="FF55" s="586"/>
      <c r="FG55" s="301"/>
      <c r="FH55" s="301"/>
      <c r="FI55" s="301"/>
      <c r="FJ55" s="301"/>
      <c r="FK55" s="301"/>
      <c r="FL55" s="301"/>
      <c r="FM55" s="301"/>
      <c r="FN55" s="301"/>
    </row>
    <row r="56" spans="2:170" x14ac:dyDescent="0.25">
      <c r="B56" s="998"/>
      <c r="C56" s="569">
        <f>C55+1</f>
        <v>44</v>
      </c>
      <c r="D56" s="558" t="s">
        <v>224</v>
      </c>
      <c r="E56" s="559"/>
      <c r="F56" s="552"/>
      <c r="G56" s="559"/>
      <c r="H56" s="552"/>
      <c r="I56" s="552"/>
      <c r="J56" s="559"/>
      <c r="K56" s="552"/>
      <c r="L56" s="559"/>
      <c r="M56" s="552"/>
      <c r="N56" s="552"/>
      <c r="O56" s="552"/>
      <c r="P56" s="552"/>
      <c r="Q56" s="552"/>
      <c r="R56" s="552"/>
      <c r="S56" s="552"/>
      <c r="T56" s="552"/>
      <c r="U56" s="552"/>
      <c r="V56" s="601"/>
      <c r="W56" s="552"/>
      <c r="X56" s="552"/>
      <c r="Y56" s="552"/>
      <c r="Z56" s="601"/>
      <c r="AA56" s="552"/>
      <c r="AB56" s="552"/>
      <c r="AC56" s="552"/>
      <c r="AD56" s="601"/>
      <c r="AE56" s="552"/>
      <c r="AF56" s="552"/>
      <c r="AG56" s="552"/>
      <c r="AH56" s="552"/>
      <c r="AI56" s="601"/>
      <c r="AJ56" s="552"/>
      <c r="AK56" s="552"/>
      <c r="AL56" s="552"/>
      <c r="AM56" s="601"/>
      <c r="AN56" s="552"/>
      <c r="AO56" s="552"/>
      <c r="AP56" s="552"/>
      <c r="AQ56" s="552"/>
      <c r="AR56" s="601"/>
      <c r="AS56" s="552"/>
      <c r="AT56" s="464"/>
      <c r="AU56" s="464"/>
      <c r="AV56" s="589"/>
      <c r="AW56" s="464"/>
      <c r="AX56" s="464"/>
      <c r="AY56" s="464"/>
      <c r="AZ56" s="564"/>
      <c r="BA56" s="112"/>
      <c r="BB56" s="464"/>
      <c r="BC56" s="464"/>
      <c r="BD56" s="589"/>
      <c r="BE56" s="464"/>
      <c r="BF56" s="464"/>
      <c r="BG56" s="464"/>
      <c r="BH56" s="464"/>
      <c r="BI56" s="589"/>
      <c r="BJ56" s="464"/>
      <c r="BK56" s="464"/>
      <c r="BL56" s="464"/>
      <c r="BM56" s="589"/>
      <c r="BN56" s="464"/>
      <c r="BO56" s="464"/>
      <c r="BP56" s="464"/>
      <c r="BQ56" s="601"/>
      <c r="BR56" s="552"/>
      <c r="BS56" s="552"/>
      <c r="BT56" s="464"/>
      <c r="BU56" s="589"/>
      <c r="BV56" s="464"/>
      <c r="BW56" s="464"/>
      <c r="BX56" s="464"/>
      <c r="BY56" s="464"/>
      <c r="BZ56" s="564"/>
      <c r="CA56" s="464"/>
      <c r="CB56" s="464"/>
      <c r="CC56" s="464"/>
      <c r="CD56" s="589"/>
      <c r="CE56" s="464"/>
      <c r="CF56" s="464"/>
      <c r="CG56" s="464"/>
      <c r="CH56" s="464"/>
      <c r="CI56" s="589"/>
      <c r="CJ56" s="464"/>
      <c r="CK56" s="464"/>
      <c r="CL56" s="464"/>
      <c r="CM56" s="589"/>
      <c r="CN56" s="464"/>
      <c r="CO56" s="464"/>
      <c r="CP56" s="464"/>
      <c r="CQ56" s="601"/>
      <c r="CR56" s="552"/>
      <c r="CS56" s="552"/>
      <c r="CT56" s="464"/>
      <c r="CU56" s="464"/>
      <c r="CV56" s="589"/>
      <c r="CW56" s="464"/>
      <c r="CX56" s="464"/>
      <c r="CY56" s="464"/>
      <c r="CZ56" s="564"/>
      <c r="DA56" s="464"/>
      <c r="DB56" s="464"/>
      <c r="DC56" s="464"/>
      <c r="DD56" s="589"/>
      <c r="DE56" s="464"/>
      <c r="DF56" s="464"/>
      <c r="DG56" s="464"/>
      <c r="DH56" s="464"/>
      <c r="DI56" s="589"/>
      <c r="DJ56" s="464"/>
      <c r="DK56" s="464"/>
      <c r="DL56" s="464"/>
      <c r="DM56" s="589"/>
      <c r="DN56" s="464"/>
      <c r="DO56" s="464"/>
      <c r="DP56" s="464"/>
      <c r="DQ56" s="601"/>
      <c r="DR56" s="552"/>
      <c r="DS56" s="552"/>
      <c r="DT56" s="464"/>
      <c r="DU56" s="464"/>
      <c r="DV56" s="589"/>
      <c r="DW56" s="464"/>
      <c r="DX56" s="464"/>
      <c r="DY56" s="464"/>
      <c r="DZ56" s="589"/>
      <c r="EA56" s="464"/>
      <c r="EB56" s="464"/>
      <c r="EC56" s="464"/>
      <c r="ED56" s="589"/>
      <c r="EE56" s="464"/>
      <c r="EF56" s="464"/>
      <c r="EG56" s="464"/>
      <c r="EH56" s="464"/>
      <c r="EI56" s="589"/>
      <c r="EJ56" s="464"/>
      <c r="EK56" s="464"/>
      <c r="EL56" s="464"/>
      <c r="EM56" s="589"/>
      <c r="EN56" s="464"/>
      <c r="EO56" s="464"/>
      <c r="EP56" s="464"/>
      <c r="EQ56" s="601"/>
      <c r="ER56" s="552"/>
      <c r="ES56" s="552"/>
      <c r="ET56" s="464"/>
      <c r="EU56" s="464"/>
      <c r="EV56" s="589"/>
      <c r="EW56" s="464"/>
      <c r="EX56" s="464"/>
      <c r="EY56" s="464"/>
      <c r="EZ56" s="589"/>
      <c r="FA56" s="464"/>
      <c r="FB56" s="464"/>
      <c r="FC56" s="464"/>
      <c r="FD56" s="464"/>
      <c r="FE56" s="464"/>
      <c r="FF56" s="589"/>
      <c r="FG56" s="464"/>
      <c r="FH56" s="464"/>
      <c r="FI56" s="464"/>
      <c r="FJ56" s="464"/>
      <c r="FK56" s="301"/>
      <c r="FL56" s="301"/>
      <c r="FM56" s="301"/>
      <c r="FN56" s="301"/>
    </row>
    <row r="57" spans="2:170" x14ac:dyDescent="0.25">
      <c r="B57" s="998"/>
      <c r="C57" s="569">
        <f>C56+1</f>
        <v>45</v>
      </c>
      <c r="D57" s="558" t="s">
        <v>204</v>
      </c>
      <c r="E57" s="559"/>
      <c r="F57" s="552"/>
      <c r="G57" s="559"/>
      <c r="H57" s="552"/>
      <c r="I57" s="552"/>
      <c r="J57" s="559"/>
      <c r="K57" s="552"/>
      <c r="L57" s="559"/>
      <c r="M57" s="552"/>
      <c r="N57" s="552"/>
      <c r="O57" s="552"/>
      <c r="P57" s="552"/>
      <c r="Q57" s="552"/>
      <c r="R57" s="552"/>
      <c r="S57" s="552"/>
      <c r="T57" s="552"/>
      <c r="U57" s="552"/>
      <c r="V57" s="552"/>
      <c r="W57" s="552"/>
      <c r="X57" s="552"/>
      <c r="Y57" s="552"/>
      <c r="Z57" s="552"/>
      <c r="AA57" s="552"/>
      <c r="AB57" s="552"/>
      <c r="AC57" s="552"/>
      <c r="AD57" s="552"/>
      <c r="AE57" s="552"/>
      <c r="AF57" s="552"/>
      <c r="AG57" s="552"/>
      <c r="AH57" s="552"/>
      <c r="AI57" s="552"/>
      <c r="AJ57" s="552"/>
      <c r="AK57" s="552"/>
      <c r="AL57" s="552"/>
      <c r="AM57" s="552"/>
      <c r="AN57" s="552"/>
      <c r="AO57" s="552"/>
      <c r="AP57" s="552"/>
      <c r="AQ57" s="552"/>
      <c r="AR57" s="552"/>
      <c r="AS57" s="552" t="s">
        <v>135</v>
      </c>
      <c r="AT57" s="566"/>
      <c r="AU57" s="464"/>
      <c r="AV57" s="464"/>
      <c r="AW57" s="464"/>
      <c r="AX57" s="464"/>
      <c r="AY57" s="568"/>
      <c r="AZ57" s="464"/>
      <c r="BA57" s="584"/>
      <c r="BB57" s="464"/>
      <c r="BC57" s="464"/>
      <c r="BD57" s="464"/>
      <c r="BE57" s="464"/>
      <c r="BF57" s="464"/>
      <c r="BG57" s="586"/>
      <c r="BH57" s="464"/>
      <c r="BI57" s="464"/>
      <c r="BJ57" s="464"/>
      <c r="BK57" s="464"/>
      <c r="BL57" s="464"/>
      <c r="BM57" s="464"/>
      <c r="BN57" s="464"/>
      <c r="BO57" s="464"/>
      <c r="BP57" s="464"/>
      <c r="BQ57" s="552"/>
      <c r="BR57" s="552"/>
      <c r="BS57" s="552" t="s">
        <v>135</v>
      </c>
      <c r="BT57" s="566"/>
      <c r="BU57" s="464"/>
      <c r="BV57" s="464"/>
      <c r="BW57" s="464"/>
      <c r="BX57" s="464"/>
      <c r="BY57" s="568"/>
      <c r="BZ57" s="580"/>
      <c r="CA57" s="464"/>
      <c r="CB57" s="464"/>
      <c r="CC57" s="464"/>
      <c r="CD57" s="464"/>
      <c r="CE57" s="464"/>
      <c r="CF57" s="464"/>
      <c r="CG57" s="586"/>
      <c r="CH57" s="464"/>
      <c r="CI57" s="464"/>
      <c r="CJ57" s="464"/>
      <c r="CK57" s="464"/>
      <c r="CL57" s="464"/>
      <c r="CM57" s="464"/>
      <c r="CN57" s="464"/>
      <c r="CO57" s="464"/>
      <c r="CP57" s="464"/>
      <c r="CQ57" s="552"/>
      <c r="CR57" s="552"/>
      <c r="CS57" s="552" t="s">
        <v>135</v>
      </c>
      <c r="CT57" s="566"/>
      <c r="CU57" s="464"/>
      <c r="CV57" s="464"/>
      <c r="CW57" s="464"/>
      <c r="CX57" s="464"/>
      <c r="CY57" s="568"/>
      <c r="CZ57" s="584"/>
      <c r="DA57" s="464"/>
      <c r="DB57" s="464"/>
      <c r="DC57" s="464"/>
      <c r="DD57" s="464"/>
      <c r="DE57" s="464"/>
      <c r="DF57" s="464"/>
      <c r="DG57" s="586"/>
      <c r="DH57" s="464"/>
      <c r="DI57" s="464"/>
      <c r="DJ57" s="464"/>
      <c r="DK57" s="464"/>
      <c r="DL57" s="464"/>
      <c r="DM57" s="464"/>
      <c r="DN57" s="464"/>
      <c r="DO57" s="464"/>
      <c r="DP57" s="464"/>
      <c r="DQ57" s="552"/>
      <c r="DR57" s="552"/>
      <c r="DS57" s="552" t="s">
        <v>135</v>
      </c>
      <c r="DT57" s="566"/>
      <c r="DU57" s="464"/>
      <c r="DV57" s="464"/>
      <c r="DW57" s="464"/>
      <c r="DX57" s="464"/>
      <c r="DY57" s="568"/>
      <c r="DZ57" s="464"/>
      <c r="EA57" s="584"/>
      <c r="EB57" s="464"/>
      <c r="EC57" s="464"/>
      <c r="ED57" s="464"/>
      <c r="EE57" s="464"/>
      <c r="EF57" s="464"/>
      <c r="EG57" s="586"/>
      <c r="EH57" s="464"/>
      <c r="EI57" s="464"/>
      <c r="EJ57" s="464"/>
      <c r="EK57" s="464"/>
      <c r="EL57" s="464"/>
      <c r="EM57" s="464"/>
      <c r="EN57" s="464"/>
      <c r="EO57" s="464"/>
      <c r="EP57" s="464"/>
      <c r="EQ57" s="552"/>
      <c r="ER57" s="552"/>
      <c r="ES57" s="552" t="s">
        <v>135</v>
      </c>
      <c r="ET57" s="566"/>
      <c r="EU57" s="464"/>
      <c r="EV57" s="464"/>
      <c r="EW57" s="464"/>
      <c r="EX57" s="464"/>
      <c r="EY57" s="568"/>
      <c r="EZ57" s="464"/>
      <c r="FA57" s="464"/>
      <c r="FB57" s="464"/>
      <c r="FC57" s="464"/>
      <c r="FD57" s="464"/>
      <c r="FE57" s="464"/>
      <c r="FF57" s="464"/>
      <c r="FG57" s="586"/>
      <c r="FH57" s="301"/>
      <c r="FI57" s="301"/>
      <c r="FJ57" s="301"/>
      <c r="FK57" s="301"/>
      <c r="FL57" s="301"/>
      <c r="FM57" s="301"/>
      <c r="FN57" s="301"/>
    </row>
    <row r="58" spans="2:170" x14ac:dyDescent="0.25">
      <c r="B58" s="998"/>
      <c r="C58" s="570">
        <f t="shared" si="39"/>
        <v>46</v>
      </c>
      <c r="D58" s="554" t="s">
        <v>125</v>
      </c>
      <c r="E58" s="555"/>
      <c r="F58" s="464"/>
      <c r="G58" s="555"/>
      <c r="H58" s="464"/>
      <c r="I58" s="464"/>
      <c r="J58" s="555"/>
      <c r="K58" s="464"/>
      <c r="L58" s="555"/>
      <c r="M58" s="464"/>
      <c r="N58" s="464"/>
      <c r="O58" s="464"/>
      <c r="P58" s="464"/>
      <c r="Q58" s="464"/>
      <c r="R58" s="464"/>
      <c r="S58" s="464"/>
      <c r="T58" s="464"/>
      <c r="U58" s="464"/>
      <c r="V58" s="464"/>
      <c r="W58" s="464"/>
      <c r="X58" s="464"/>
      <c r="Y58" s="464"/>
      <c r="Z58" s="464"/>
      <c r="AA58" s="464"/>
      <c r="AB58" s="464"/>
      <c r="AC58" s="464"/>
      <c r="AD58" s="464"/>
      <c r="AE58" s="464"/>
      <c r="AF58" s="464"/>
      <c r="AG58" s="464"/>
      <c r="AH58" s="464"/>
      <c r="AI58" s="464"/>
      <c r="AJ58" s="464"/>
      <c r="AK58" s="464"/>
      <c r="AL58" s="464"/>
      <c r="AM58" s="464"/>
      <c r="AN58" s="464"/>
      <c r="AO58" s="464"/>
      <c r="AP58" s="464"/>
      <c r="AQ58" s="464"/>
      <c r="AR58" s="464"/>
      <c r="AS58" s="464"/>
      <c r="AT58" s="566"/>
      <c r="AU58" s="566"/>
      <c r="AV58" s="566"/>
      <c r="AW58" s="566"/>
      <c r="AX58" s="464"/>
      <c r="AY58" s="568"/>
      <c r="AZ58" s="568"/>
      <c r="BA58" s="585"/>
      <c r="BB58" s="568"/>
      <c r="BC58" s="464"/>
      <c r="BD58" s="464"/>
      <c r="BE58" s="464"/>
      <c r="BF58" s="464"/>
      <c r="BG58" s="586"/>
      <c r="BH58" s="586"/>
      <c r="BI58" s="586"/>
      <c r="BJ58" s="586"/>
      <c r="BK58" s="464"/>
      <c r="BL58" s="464"/>
      <c r="BM58" s="464"/>
      <c r="BN58" s="464"/>
      <c r="BO58" s="464"/>
      <c r="BP58" s="464"/>
      <c r="BQ58" s="464"/>
      <c r="BR58" s="464"/>
      <c r="BS58" s="464"/>
      <c r="BT58" s="566"/>
      <c r="BU58" s="566"/>
      <c r="BV58" s="566"/>
      <c r="BW58" s="566"/>
      <c r="BX58" s="464"/>
      <c r="BY58" s="568"/>
      <c r="BZ58" s="583"/>
      <c r="CA58" s="568"/>
      <c r="CB58" s="568"/>
      <c r="CC58" s="464"/>
      <c r="CD58" s="464"/>
      <c r="CE58" s="464"/>
      <c r="CF58" s="464"/>
      <c r="CG58" s="586"/>
      <c r="CH58" s="586"/>
      <c r="CI58" s="586"/>
      <c r="CJ58" s="586"/>
      <c r="CK58" s="464"/>
      <c r="CL58" s="464"/>
      <c r="CM58" s="464"/>
      <c r="CN58" s="464"/>
      <c r="CO58" s="464"/>
      <c r="CP58" s="464"/>
      <c r="CQ58" s="464"/>
      <c r="CR58" s="464"/>
      <c r="CS58" s="464"/>
      <c r="CT58" s="566"/>
      <c r="CU58" s="566"/>
      <c r="CV58" s="566"/>
      <c r="CW58" s="566"/>
      <c r="CX58" s="464"/>
      <c r="CY58" s="568"/>
      <c r="CZ58" s="585"/>
      <c r="DA58" s="568"/>
      <c r="DB58" s="568"/>
      <c r="DC58" s="464"/>
      <c r="DD58" s="464"/>
      <c r="DE58" s="464"/>
      <c r="DF58" s="464"/>
      <c r="DG58" s="586"/>
      <c r="DH58" s="586"/>
      <c r="DI58" s="586"/>
      <c r="DJ58" s="586"/>
      <c r="DK58" s="464"/>
      <c r="DL58" s="464"/>
      <c r="DM58" s="464"/>
      <c r="DN58" s="464"/>
      <c r="DO58" s="464"/>
      <c r="DP58" s="464"/>
      <c r="DQ58" s="464"/>
      <c r="DR58" s="464"/>
      <c r="DS58" s="464"/>
      <c r="DT58" s="566"/>
      <c r="DU58" s="566"/>
      <c r="DV58" s="566"/>
      <c r="DW58" s="566"/>
      <c r="DX58" s="464"/>
      <c r="DY58" s="568"/>
      <c r="DZ58" s="568"/>
      <c r="EA58" s="585"/>
      <c r="EB58" s="568"/>
      <c r="EC58" s="464"/>
      <c r="ED58" s="464"/>
      <c r="EE58" s="464"/>
      <c r="EF58" s="464"/>
      <c r="EG58" s="586"/>
      <c r="EH58" s="586"/>
      <c r="EI58" s="586"/>
      <c r="EJ58" s="586"/>
      <c r="EK58" s="464"/>
      <c r="EL58" s="464"/>
      <c r="EM58" s="464"/>
      <c r="EN58" s="464"/>
      <c r="EO58" s="464"/>
      <c r="EP58" s="464"/>
      <c r="EQ58" s="464"/>
      <c r="ER58" s="464"/>
      <c r="ES58" s="464"/>
      <c r="ET58" s="566"/>
      <c r="EU58" s="566"/>
      <c r="EV58" s="566"/>
      <c r="EW58" s="566"/>
      <c r="EX58" s="464"/>
      <c r="EY58" s="568"/>
      <c r="EZ58" s="568"/>
      <c r="FA58" s="568"/>
      <c r="FB58" s="568"/>
      <c r="FC58" s="568"/>
      <c r="FD58" s="464"/>
      <c r="FE58" s="464"/>
      <c r="FF58" s="464"/>
      <c r="FG58" s="586"/>
      <c r="FH58" s="586"/>
      <c r="FI58" s="586"/>
      <c r="FJ58" s="586"/>
      <c r="FK58" s="301"/>
      <c r="FL58" s="301"/>
      <c r="FM58" s="301"/>
      <c r="FN58" s="301"/>
    </row>
    <row r="59" spans="2:170" x14ac:dyDescent="0.25">
      <c r="B59" s="998"/>
      <c r="C59" s="570">
        <f t="shared" si="39"/>
        <v>47</v>
      </c>
      <c r="D59" s="554" t="s">
        <v>205</v>
      </c>
      <c r="E59" s="555"/>
      <c r="F59" s="464"/>
      <c r="G59" s="555"/>
      <c r="H59" s="464"/>
      <c r="I59" s="464"/>
      <c r="J59" s="555"/>
      <c r="K59" s="464"/>
      <c r="L59" s="555"/>
      <c r="M59" s="464"/>
      <c r="N59" s="464"/>
      <c r="O59" s="464"/>
      <c r="P59" s="464"/>
      <c r="Q59" s="464"/>
      <c r="R59" s="464"/>
      <c r="S59" s="464"/>
      <c r="T59" s="464"/>
      <c r="U59" s="464"/>
      <c r="V59" s="464"/>
      <c r="W59" s="464"/>
      <c r="X59" s="464"/>
      <c r="Y59" s="464"/>
      <c r="Z59" s="464"/>
      <c r="AA59" s="464"/>
      <c r="AB59" s="464"/>
      <c r="AC59" s="464"/>
      <c r="AD59" s="464"/>
      <c r="AE59" s="464"/>
      <c r="AF59" s="464"/>
      <c r="AG59" s="464"/>
      <c r="AH59" s="464"/>
      <c r="AI59" s="464"/>
      <c r="AJ59" s="464"/>
      <c r="AK59" s="464"/>
      <c r="AL59" s="464"/>
      <c r="AM59" s="464"/>
      <c r="AN59" s="464"/>
      <c r="AO59" s="464"/>
      <c r="AP59" s="464"/>
      <c r="AQ59" s="464"/>
      <c r="AR59" s="464"/>
      <c r="AS59" s="464"/>
      <c r="AT59" s="464"/>
      <c r="AU59" s="464"/>
      <c r="AV59" s="464"/>
      <c r="AW59" s="464"/>
      <c r="AX59" s="566"/>
      <c r="AY59" s="566"/>
      <c r="AZ59" s="464"/>
      <c r="BA59" s="580"/>
      <c r="BB59" s="464"/>
      <c r="BC59" s="568"/>
      <c r="BD59" s="568"/>
      <c r="BE59" s="464"/>
      <c r="BF59" s="464"/>
      <c r="BG59" s="464"/>
      <c r="BH59" s="464"/>
      <c r="BI59" s="464"/>
      <c r="BJ59" s="464"/>
      <c r="BK59" s="586"/>
      <c r="BL59" s="586"/>
      <c r="BM59" s="464"/>
      <c r="BN59" s="464"/>
      <c r="BO59" s="464"/>
      <c r="BP59" s="464"/>
      <c r="BQ59" s="464"/>
      <c r="BR59" s="464"/>
      <c r="BS59" s="464"/>
      <c r="BT59" s="464"/>
      <c r="BU59" s="464"/>
      <c r="BV59" s="464"/>
      <c r="BW59" s="464"/>
      <c r="BX59" s="566"/>
      <c r="BY59" s="566"/>
      <c r="BZ59" s="580"/>
      <c r="CA59" s="464"/>
      <c r="CB59" s="464"/>
      <c r="CC59" s="568"/>
      <c r="CD59" s="568"/>
      <c r="CE59" s="464"/>
      <c r="CF59" s="464"/>
      <c r="CG59" s="464"/>
      <c r="CH59" s="464"/>
      <c r="CI59" s="464"/>
      <c r="CJ59" s="464"/>
      <c r="CK59" s="586"/>
      <c r="CL59" s="586"/>
      <c r="CM59" s="464"/>
      <c r="CN59" s="464"/>
      <c r="CO59" s="464"/>
      <c r="CP59" s="464"/>
      <c r="CQ59" s="464"/>
      <c r="CR59" s="464"/>
      <c r="CS59" s="464"/>
      <c r="CT59" s="464"/>
      <c r="CU59" s="464"/>
      <c r="CV59" s="464"/>
      <c r="CW59" s="464"/>
      <c r="CX59" s="566"/>
      <c r="CY59" s="566"/>
      <c r="CZ59" s="584"/>
      <c r="DA59" s="464"/>
      <c r="DB59" s="464"/>
      <c r="DC59" s="568"/>
      <c r="DD59" s="568"/>
      <c r="DE59" s="464"/>
      <c r="DF59" s="464"/>
      <c r="DG59" s="464"/>
      <c r="DH59" s="464"/>
      <c r="DI59" s="464"/>
      <c r="DJ59" s="464"/>
      <c r="DK59" s="586"/>
      <c r="DL59" s="586"/>
      <c r="DM59" s="464"/>
      <c r="DN59" s="464"/>
      <c r="DO59" s="464"/>
      <c r="DP59" s="464"/>
      <c r="DQ59" s="464"/>
      <c r="DR59" s="464"/>
      <c r="DS59" s="464"/>
      <c r="DT59" s="464"/>
      <c r="DU59" s="464"/>
      <c r="DV59" s="464"/>
      <c r="DW59" s="464"/>
      <c r="DX59" s="566"/>
      <c r="DY59" s="566"/>
      <c r="DZ59" s="464"/>
      <c r="EA59" s="584"/>
      <c r="EB59" s="464"/>
      <c r="EC59" s="568"/>
      <c r="ED59" s="568"/>
      <c r="EE59" s="464"/>
      <c r="EF59" s="464"/>
      <c r="EG59" s="464"/>
      <c r="EH59" s="464"/>
      <c r="EI59" s="464"/>
      <c r="EJ59" s="464"/>
      <c r="EK59" s="586"/>
      <c r="EL59" s="586"/>
      <c r="EM59" s="464"/>
      <c r="EN59" s="464"/>
      <c r="EO59" s="464"/>
      <c r="EP59" s="464"/>
      <c r="EQ59" s="464"/>
      <c r="ER59" s="464"/>
      <c r="ES59" s="464"/>
      <c r="ET59" s="464"/>
      <c r="EU59" s="464"/>
      <c r="EV59" s="464"/>
      <c r="EW59" s="464"/>
      <c r="EX59" s="566"/>
      <c r="EY59" s="566"/>
      <c r="EZ59" s="464"/>
      <c r="FA59" s="464"/>
      <c r="FB59" s="464"/>
      <c r="FC59" s="568"/>
      <c r="FD59" s="568"/>
      <c r="FE59" s="568"/>
      <c r="FF59" s="464"/>
      <c r="FG59" s="301"/>
      <c r="FH59" s="301"/>
      <c r="FI59" s="301"/>
      <c r="FJ59" s="301"/>
      <c r="FK59" s="586"/>
      <c r="FL59" s="586"/>
      <c r="FM59" s="301"/>
      <c r="FN59" s="301"/>
    </row>
    <row r="60" spans="2:170" x14ac:dyDescent="0.25">
      <c r="B60" s="999"/>
      <c r="C60" s="588">
        <f t="shared" si="39"/>
        <v>48</v>
      </c>
      <c r="D60" s="554" t="s">
        <v>214</v>
      </c>
      <c r="E60" s="979"/>
      <c r="F60" s="979"/>
      <c r="G60" s="555"/>
      <c r="H60" s="464"/>
      <c r="I60" s="464"/>
      <c r="J60" s="979"/>
      <c r="K60" s="979"/>
      <c r="L60" s="555"/>
      <c r="M60" s="464"/>
      <c r="N60" s="464"/>
      <c r="O60" s="464"/>
      <c r="P60" s="464"/>
      <c r="Q60" s="464"/>
      <c r="R60" s="464"/>
      <c r="S60" s="464"/>
      <c r="T60" s="464"/>
      <c r="U60" s="464"/>
      <c r="V60" s="464"/>
      <c r="W60" s="464"/>
      <c r="X60" s="464"/>
      <c r="Y60" s="464"/>
      <c r="Z60" s="464"/>
      <c r="AA60" s="464"/>
      <c r="AB60" s="464"/>
      <c r="AC60" s="464"/>
      <c r="AD60" s="464"/>
      <c r="AE60" s="464"/>
      <c r="AF60" s="464"/>
      <c r="AG60" s="464"/>
      <c r="AH60" s="301"/>
      <c r="AI60" s="464"/>
      <c r="AJ60" s="464"/>
      <c r="AK60" s="464"/>
      <c r="AL60" s="464"/>
      <c r="AM60" s="301"/>
      <c r="AN60" s="464"/>
      <c r="AO60" s="464"/>
      <c r="AP60" s="464"/>
      <c r="AQ60" s="464"/>
      <c r="AR60" s="464"/>
      <c r="AS60" s="464"/>
      <c r="AT60" s="464"/>
      <c r="AU60" s="464"/>
      <c r="AV60" s="464"/>
      <c r="AW60" s="464"/>
      <c r="AX60" s="464"/>
      <c r="AY60" s="464"/>
      <c r="AZ60" s="464"/>
      <c r="BA60" s="301"/>
      <c r="BB60" s="301"/>
      <c r="BC60" s="301"/>
      <c r="BD60" s="301"/>
      <c r="BE60" s="301"/>
      <c r="BF60" s="301"/>
      <c r="BG60" s="301"/>
      <c r="BH60" s="301"/>
      <c r="BI60" s="301"/>
      <c r="BJ60" s="301"/>
      <c r="BK60" s="301"/>
      <c r="BL60" s="301"/>
      <c r="BM60" s="301"/>
      <c r="BN60" s="301"/>
      <c r="BO60" s="301"/>
      <c r="BP60" s="301"/>
      <c r="BQ60" s="301"/>
      <c r="BR60" s="301"/>
      <c r="BS60" s="301"/>
      <c r="BT60" s="301"/>
      <c r="BU60" s="301"/>
      <c r="BV60" s="301"/>
      <c r="BW60" s="301"/>
      <c r="BX60" s="301"/>
      <c r="BY60" s="301"/>
      <c r="BZ60" s="301"/>
      <c r="CA60" s="301"/>
      <c r="CB60" s="301"/>
      <c r="CC60" s="301"/>
      <c r="CD60" s="301"/>
      <c r="CE60" s="301"/>
      <c r="CF60" s="301"/>
      <c r="CG60" s="301"/>
      <c r="CH60" s="301"/>
      <c r="CI60" s="301"/>
      <c r="CJ60" s="301"/>
      <c r="CK60" s="301"/>
      <c r="CL60" s="301"/>
      <c r="CM60" s="301"/>
      <c r="CN60" s="301"/>
      <c r="CO60" s="301"/>
      <c r="CP60" s="301"/>
      <c r="CQ60" s="301"/>
      <c r="CR60" s="301"/>
      <c r="CS60" s="301"/>
      <c r="CT60" s="301"/>
      <c r="CU60" s="301"/>
      <c r="CV60" s="301"/>
      <c r="CW60" s="301"/>
      <c r="CX60" s="301"/>
      <c r="CY60" s="301"/>
      <c r="CZ60" s="301"/>
      <c r="DA60" s="301"/>
      <c r="DB60" s="301"/>
      <c r="DC60" s="301"/>
      <c r="DD60" s="301"/>
      <c r="DE60" s="301"/>
      <c r="DF60" s="301"/>
      <c r="DG60" s="301"/>
      <c r="DH60" s="301"/>
      <c r="DI60" s="301"/>
      <c r="DJ60" s="301"/>
      <c r="DK60" s="301"/>
      <c r="DL60" s="301"/>
      <c r="DM60" s="301"/>
      <c r="DN60" s="301"/>
      <c r="DO60" s="301"/>
      <c r="DP60" s="301"/>
      <c r="DQ60" s="301"/>
      <c r="DR60" s="301"/>
      <c r="DS60" s="301"/>
      <c r="DT60" s="301"/>
      <c r="DU60" s="301"/>
      <c r="DV60" s="301"/>
      <c r="DW60" s="301"/>
      <c r="DX60" s="301"/>
      <c r="DY60" s="301"/>
      <c r="DZ60" s="301"/>
      <c r="EA60" s="301"/>
      <c r="EB60" s="301"/>
      <c r="EC60" s="301"/>
      <c r="ED60" s="301"/>
      <c r="EE60" s="301"/>
      <c r="EF60" s="301"/>
      <c r="EG60" s="301"/>
      <c r="EH60" s="301"/>
      <c r="EI60" s="301"/>
      <c r="EJ60" s="301"/>
      <c r="EK60" s="301"/>
      <c r="EL60" s="301"/>
      <c r="EM60" s="301"/>
      <c r="EN60" s="301"/>
      <c r="EO60" s="301"/>
      <c r="EP60" s="301"/>
      <c r="EQ60" s="301"/>
      <c r="ER60" s="301"/>
      <c r="ES60" s="301"/>
      <c r="ET60" s="301"/>
      <c r="EU60" s="301"/>
      <c r="EV60" s="301"/>
      <c r="EW60" s="301"/>
      <c r="EX60" s="301"/>
      <c r="EY60" s="301"/>
      <c r="EZ60" s="301"/>
      <c r="FA60" s="301"/>
      <c r="FB60" s="301"/>
      <c r="FC60" s="301"/>
      <c r="FD60" s="301"/>
      <c r="FE60" s="301"/>
      <c r="FF60" s="301"/>
      <c r="FG60" s="301"/>
      <c r="FH60" s="301"/>
      <c r="FI60" s="301"/>
      <c r="FJ60" s="301"/>
      <c r="FK60" s="301"/>
      <c r="FL60" s="301"/>
      <c r="FM60" s="589"/>
      <c r="FN60" s="589"/>
    </row>
    <row r="61" spans="2:170" x14ac:dyDescent="0.25">
      <c r="E61" s="975"/>
      <c r="F61" s="975"/>
      <c r="G61" s="975"/>
      <c r="H61" s="975"/>
      <c r="I61" s="112"/>
      <c r="J61" s="975"/>
      <c r="K61" s="975"/>
      <c r="L61" s="975"/>
      <c r="M61" s="975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I61" s="112"/>
      <c r="AJ61" s="112"/>
      <c r="AK61" s="112"/>
      <c r="AL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</row>
    <row r="62" spans="2:170" x14ac:dyDescent="0.25">
      <c r="D62" s="658" t="s">
        <v>245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I62" s="112"/>
      <c r="AJ62" s="112"/>
      <c r="AK62" s="112"/>
      <c r="AL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</row>
    <row r="63" spans="2:170" x14ac:dyDescent="0.25">
      <c r="D63" s="658" t="s">
        <v>246</v>
      </c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I63" s="112"/>
      <c r="AJ63" s="112"/>
      <c r="AK63" s="112"/>
      <c r="AL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FD63" s="179" t="s">
        <v>135</v>
      </c>
    </row>
    <row r="64" spans="2:170" x14ac:dyDescent="0.25"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I64" s="112"/>
      <c r="AJ64" s="112"/>
      <c r="AK64" s="112"/>
      <c r="AL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FF64" s="993"/>
      <c r="FG64" s="994"/>
      <c r="FH64" s="994"/>
      <c r="FI64" s="995"/>
    </row>
    <row r="65" spans="4:52" x14ac:dyDescent="0.25"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I65" s="112"/>
      <c r="AJ65" s="112"/>
      <c r="AK65" s="112"/>
      <c r="AL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</row>
    <row r="66" spans="4:52" x14ac:dyDescent="0.25"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I66" s="112"/>
      <c r="AJ66" s="112"/>
      <c r="AK66" s="112"/>
      <c r="AL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</row>
    <row r="67" spans="4:52" x14ac:dyDescent="0.25"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I67" s="112"/>
      <c r="AJ67" s="112"/>
      <c r="AK67" s="112"/>
      <c r="AL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</row>
    <row r="68" spans="4:52" x14ac:dyDescent="0.25"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I68" s="112"/>
      <c r="AJ68" s="112"/>
      <c r="AK68" s="112"/>
      <c r="AL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</row>
    <row r="69" spans="4:52" x14ac:dyDescent="0.25"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I69" s="112"/>
      <c r="AJ69" s="112"/>
      <c r="AK69" s="112"/>
      <c r="AL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</row>
  </sheetData>
  <mergeCells count="49">
    <mergeCell ref="FK7:FN7"/>
    <mergeCell ref="FG7:FJ7"/>
    <mergeCell ref="B44:B60"/>
    <mergeCell ref="B41:B42"/>
    <mergeCell ref="BV7:BZ7"/>
    <mergeCell ref="E7:I7"/>
    <mergeCell ref="E60:F60"/>
    <mergeCell ref="CN7:CQ7"/>
    <mergeCell ref="DN7:DQ7"/>
    <mergeCell ref="DE7:DI7"/>
    <mergeCell ref="CR7:CV7"/>
    <mergeCell ref="CE7:CI7"/>
    <mergeCell ref="BN7:BQ7"/>
    <mergeCell ref="BR7:BU7"/>
    <mergeCell ref="BJ7:BM7"/>
    <mergeCell ref="BE7:BI7"/>
    <mergeCell ref="E61:H61"/>
    <mergeCell ref="FF64:FI64"/>
    <mergeCell ref="EN7:EQ7"/>
    <mergeCell ref="EW7:EZ7"/>
    <mergeCell ref="FB7:FF7"/>
    <mergeCell ref="ER7:EV7"/>
    <mergeCell ref="DW7:DZ7"/>
    <mergeCell ref="EA7:ED7"/>
    <mergeCell ref="EJ7:EM7"/>
    <mergeCell ref="EE7:EI7"/>
    <mergeCell ref="DR7:DV7"/>
    <mergeCell ref="CW7:CZ7"/>
    <mergeCell ref="DA7:DD7"/>
    <mergeCell ref="DJ7:DM7"/>
    <mergeCell ref="CA7:CD7"/>
    <mergeCell ref="CJ7:CM7"/>
    <mergeCell ref="AW7:AZ7"/>
    <mergeCell ref="BA7:BD7"/>
    <mergeCell ref="B16:B39"/>
    <mergeCell ref="C2:AH2"/>
    <mergeCell ref="C7:C8"/>
    <mergeCell ref="D7:D8"/>
    <mergeCell ref="J7:N7"/>
    <mergeCell ref="O7:R7"/>
    <mergeCell ref="S7:V7"/>
    <mergeCell ref="W7:Z7"/>
    <mergeCell ref="AA7:AD7"/>
    <mergeCell ref="AE7:AH7"/>
    <mergeCell ref="J61:M61"/>
    <mergeCell ref="AI7:AM7"/>
    <mergeCell ref="AN7:AQ7"/>
    <mergeCell ref="AR7:AV7"/>
    <mergeCell ref="J60:K60"/>
  </mergeCells>
  <pageMargins left="0.7" right="0.7" top="0.75" bottom="0.75" header="0.3" footer="0.3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55"/>
  <sheetViews>
    <sheetView zoomScaleNormal="100" zoomScalePageLayoutView="200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11.42578125" defaultRowHeight="15" x14ac:dyDescent="0.25"/>
  <cols>
    <col min="1" max="1" width="62.140625" bestFit="1" customWidth="1"/>
    <col min="2" max="2" width="12" style="179" bestFit="1" customWidth="1"/>
    <col min="3" max="3" width="12" style="179" customWidth="1"/>
    <col min="4" max="4" width="13" hidden="1" customWidth="1"/>
    <col min="5" max="5" width="10.140625" hidden="1" customWidth="1"/>
    <col min="6" max="6" width="13.85546875" hidden="1" customWidth="1"/>
    <col min="7" max="7" width="14.140625" hidden="1" customWidth="1"/>
    <col min="8" max="8" width="0" hidden="1" customWidth="1"/>
    <col min="9" max="9" width="14.28515625" style="179" hidden="1" customWidth="1"/>
    <col min="10" max="10" width="12" style="179" hidden="1" customWidth="1"/>
    <col min="11" max="11" width="22.28515625" hidden="1" customWidth="1"/>
  </cols>
  <sheetData>
    <row r="4" spans="1:11" s="62" customFormat="1" x14ac:dyDescent="0.25">
      <c r="B4" s="850" t="s">
        <v>427</v>
      </c>
      <c r="C4" s="851"/>
      <c r="D4" s="850" t="s">
        <v>431</v>
      </c>
      <c r="E4" s="852"/>
      <c r="F4" s="852"/>
      <c r="G4" s="851"/>
    </row>
    <row r="5" spans="1:11" s="62" customFormat="1" x14ac:dyDescent="0.25">
      <c r="B5" s="316" t="s">
        <v>425</v>
      </c>
      <c r="C5" s="847" t="s">
        <v>426</v>
      </c>
      <c r="D5" s="316"/>
      <c r="E5" s="60"/>
      <c r="F5" s="60"/>
      <c r="G5" s="847" t="s">
        <v>491</v>
      </c>
    </row>
    <row r="6" spans="1:11" s="62" customFormat="1" x14ac:dyDescent="0.25">
      <c r="B6" s="848" t="s">
        <v>424</v>
      </c>
      <c r="C6" s="849" t="s">
        <v>424</v>
      </c>
      <c r="D6" s="848" t="s">
        <v>416</v>
      </c>
      <c r="E6" s="853" t="s">
        <v>110</v>
      </c>
      <c r="F6" s="853" t="s">
        <v>417</v>
      </c>
      <c r="G6" s="849" t="s">
        <v>492</v>
      </c>
      <c r="H6" s="62" t="s">
        <v>124</v>
      </c>
      <c r="I6" s="62" t="s">
        <v>488</v>
      </c>
      <c r="J6" s="845" t="s">
        <v>489</v>
      </c>
      <c r="K6" s="846" t="s">
        <v>490</v>
      </c>
    </row>
    <row r="7" spans="1:11" x14ac:dyDescent="0.25">
      <c r="A7" s="518" t="s">
        <v>259</v>
      </c>
      <c r="B7" s="862" t="s">
        <v>428</v>
      </c>
      <c r="C7" s="854"/>
      <c r="J7" s="871"/>
      <c r="K7" s="861"/>
    </row>
    <row r="8" spans="1:11" x14ac:dyDescent="0.25">
      <c r="A8" s="325" t="s">
        <v>359</v>
      </c>
      <c r="B8" s="876">
        <f>105*1.22</f>
        <v>128.1</v>
      </c>
      <c r="C8" s="855">
        <f>+B8/'Ghana-CostDriverInput'!V$6</f>
        <v>36.6</v>
      </c>
      <c r="D8" s="822">
        <f>+'Ghana-CostDriverInput'!J38+'Ghana-CostDriverInput'!J65+'Ghana-CostDriverInput'!J75+'Ghana-CostDriverInput'!J81+'Ghana-CostDriverInput'!J94+'Ghana-CostDriverInput'!J113+'Ghana-CostDriverInput'!J130+'Ghana-CostDriverInput'!J244</f>
        <v>62.6</v>
      </c>
      <c r="E8" s="822">
        <f>+'Ghana-CostDriverInput'!J268+'Ghana-CostDriverInput'!J288</f>
        <v>8</v>
      </c>
      <c r="F8" s="822">
        <f>+'Ghana-CostDriverInput'!J314+'Ghana-CostDriverInput'!J417+'Ghana-CostDriverInput'!J448+'Ghana-CostDriverInput'!J541+'Ghana-CostDriverInput'!J554</f>
        <v>41</v>
      </c>
      <c r="G8" s="822">
        <f>+'Ghana-CostDriverInput'!J363+'Ghana-CostDriverInput'!J81</f>
        <v>53.6</v>
      </c>
      <c r="H8" s="822">
        <f>+SUM(D8:G8)</f>
        <v>165.2</v>
      </c>
      <c r="I8" s="822">
        <v>365</v>
      </c>
      <c r="J8" s="873">
        <f>+I8-H8</f>
        <v>199.8</v>
      </c>
      <c r="K8" s="860">
        <f>+J8*C8</f>
        <v>7312.68</v>
      </c>
    </row>
    <row r="9" spans="1:11" x14ac:dyDescent="0.25">
      <c r="A9" s="325" t="s">
        <v>496</v>
      </c>
      <c r="B9" s="876">
        <f>98*1.22</f>
        <v>119.56</v>
      </c>
      <c r="C9" s="855">
        <f>+B9/'Ghana-CostDriverInput'!V$6</f>
        <v>34.160000000000004</v>
      </c>
      <c r="D9" s="822">
        <f>+'Ghana-CostDriverInput'!J39+'Ghana-CostDriverInput'!J82+'Ghana-CostDriverInput'!J95+'Ghana-CostDriverInput'!J131</f>
        <v>53.6</v>
      </c>
      <c r="E9" s="822">
        <f>+'Ghana-CostDriverInput'!J269+'Ghana-CostDriverInput'!J315</f>
        <v>7</v>
      </c>
      <c r="F9" s="822">
        <f>+'Ghana-CostDriverInput'!J447+'Ghana-CostDriverInput'!J455+'Ghana-CostDriverInput'!J465+'Ghana-CostDriverInput'!J540</f>
        <v>11</v>
      </c>
      <c r="G9" s="822">
        <f>+'Ghana-CostDriverInput'!J343+'Ghana-CostDriverInput'!J363+'Ghana-CostDriverInput'!J378+'Ghana-CostDriverInput'!A27</f>
        <v>90</v>
      </c>
      <c r="H9" s="822">
        <f>+SUM(D9:G9)</f>
        <v>161.6</v>
      </c>
      <c r="I9" s="822">
        <v>365</v>
      </c>
      <c r="J9" s="873">
        <f>+I9-H9</f>
        <v>203.4</v>
      </c>
      <c r="K9" s="861"/>
    </row>
    <row r="10" spans="1:11" x14ac:dyDescent="0.25">
      <c r="A10" s="325" t="s">
        <v>240</v>
      </c>
      <c r="B10" s="876">
        <f>0.75*B9</f>
        <v>89.67</v>
      </c>
      <c r="C10" s="855">
        <f>+B10/'Ghana-CostDriverInput'!V$6</f>
        <v>25.62</v>
      </c>
      <c r="J10" s="871"/>
      <c r="K10" s="861"/>
    </row>
    <row r="11" spans="1:11" x14ac:dyDescent="0.25">
      <c r="A11" s="325" t="s">
        <v>241</v>
      </c>
      <c r="B11" s="876">
        <v>31</v>
      </c>
      <c r="C11" s="855">
        <f>+B11/'Ghana-CostDriverInput'!V$6</f>
        <v>8.8571428571428577</v>
      </c>
      <c r="J11" s="871"/>
      <c r="K11" s="861"/>
    </row>
    <row r="12" spans="1:11" x14ac:dyDescent="0.25">
      <c r="A12" s="750"/>
      <c r="B12" s="863"/>
      <c r="C12" s="856"/>
      <c r="J12" s="871"/>
      <c r="K12" s="861"/>
    </row>
    <row r="13" spans="1:11" x14ac:dyDescent="0.25">
      <c r="A13" s="518" t="s">
        <v>258</v>
      </c>
      <c r="B13" s="864"/>
      <c r="C13" s="857"/>
      <c r="J13" s="871"/>
      <c r="K13" s="861"/>
    </row>
    <row r="14" spans="1:11" x14ac:dyDescent="0.25">
      <c r="A14" s="325" t="s">
        <v>419</v>
      </c>
      <c r="B14" s="865">
        <f>105*1.22</f>
        <v>128.1</v>
      </c>
      <c r="C14" s="855">
        <f>+B14/'Ghana-CostDriverInput'!V$6</f>
        <v>36.6</v>
      </c>
      <c r="D14" s="822">
        <f t="shared" ref="D14:G15" si="0">+D8</f>
        <v>62.6</v>
      </c>
      <c r="E14" s="822">
        <f t="shared" si="0"/>
        <v>8</v>
      </c>
      <c r="F14" s="822">
        <f t="shared" si="0"/>
        <v>41</v>
      </c>
      <c r="G14" s="822">
        <f t="shared" si="0"/>
        <v>53.6</v>
      </c>
      <c r="H14" s="822">
        <f>+SUM(D14:G14)</f>
        <v>165.2</v>
      </c>
      <c r="I14" s="822">
        <v>365</v>
      </c>
      <c r="J14" s="871"/>
      <c r="K14" s="861"/>
    </row>
    <row r="15" spans="1:11" x14ac:dyDescent="0.25">
      <c r="A15" s="325" t="s">
        <v>501</v>
      </c>
      <c r="B15" s="865">
        <f>98*1.22</f>
        <v>119.56</v>
      </c>
      <c r="C15" s="855">
        <f>+B15/'Ghana-CostDriverInput'!V$6</f>
        <v>34.160000000000004</v>
      </c>
      <c r="D15" s="822">
        <f t="shared" si="0"/>
        <v>53.6</v>
      </c>
      <c r="E15" s="822">
        <f t="shared" si="0"/>
        <v>7</v>
      </c>
      <c r="F15" s="822">
        <f t="shared" si="0"/>
        <v>11</v>
      </c>
      <c r="G15" s="822">
        <f t="shared" si="0"/>
        <v>90</v>
      </c>
      <c r="H15" s="822">
        <f>+SUM(D15:G15)</f>
        <v>161.6</v>
      </c>
      <c r="I15" s="822">
        <v>365</v>
      </c>
      <c r="J15" s="871"/>
      <c r="K15" s="861"/>
    </row>
    <row r="16" spans="1:11" x14ac:dyDescent="0.25">
      <c r="A16" s="325" t="s">
        <v>240</v>
      </c>
      <c r="B16" s="865">
        <f>0.75*B15</f>
        <v>89.67</v>
      </c>
      <c r="C16" s="855">
        <f>+B16/'Ghana-CostDriverInput'!V$6</f>
        <v>25.62</v>
      </c>
      <c r="J16" s="871"/>
      <c r="K16" s="861"/>
    </row>
    <row r="17" spans="1:12" x14ac:dyDescent="0.25">
      <c r="A17" s="325" t="s">
        <v>241</v>
      </c>
      <c r="B17" s="865">
        <v>31</v>
      </c>
      <c r="C17" s="855">
        <f>+B17/'Ghana-CostDriverInput'!V$6</f>
        <v>8.8571428571428577</v>
      </c>
      <c r="J17" s="871"/>
      <c r="K17" s="861"/>
    </row>
    <row r="18" spans="1:12" x14ac:dyDescent="0.25">
      <c r="A18" s="177"/>
      <c r="B18" s="866"/>
      <c r="C18" s="858"/>
      <c r="J18" s="871"/>
      <c r="K18" s="861"/>
    </row>
    <row r="19" spans="1:12" x14ac:dyDescent="0.25">
      <c r="A19" s="518" t="s">
        <v>407</v>
      </c>
      <c r="B19" s="864"/>
      <c r="C19" s="857"/>
      <c r="J19" s="871"/>
      <c r="K19" s="861"/>
    </row>
    <row r="20" spans="1:12" x14ac:dyDescent="0.25">
      <c r="A20" s="325" t="s">
        <v>420</v>
      </c>
      <c r="B20" s="865">
        <f>105*1.22</f>
        <v>128.1</v>
      </c>
      <c r="C20" s="855">
        <f>+B20/'Ghana-CostDriverInput'!V$6</f>
        <v>36.6</v>
      </c>
      <c r="J20" s="871"/>
      <c r="K20" s="861"/>
    </row>
    <row r="21" spans="1:12" x14ac:dyDescent="0.25">
      <c r="A21" s="325" t="s">
        <v>496</v>
      </c>
      <c r="B21" s="865">
        <f>98*1.22</f>
        <v>119.56</v>
      </c>
      <c r="C21" s="855">
        <f>+B21/'Ghana-CostDriverInput'!V$6</f>
        <v>34.160000000000004</v>
      </c>
      <c r="J21" s="871"/>
      <c r="K21" s="861"/>
    </row>
    <row r="22" spans="1:12" x14ac:dyDescent="0.25">
      <c r="A22" s="325" t="s">
        <v>241</v>
      </c>
      <c r="B22" s="865">
        <v>31</v>
      </c>
      <c r="C22" s="855">
        <f>+B22/'Ghana-CostDriverInput'!V$6</f>
        <v>8.8571428571428577</v>
      </c>
      <c r="J22" s="871"/>
      <c r="K22" s="861"/>
    </row>
    <row r="23" spans="1:12" x14ac:dyDescent="0.25">
      <c r="A23" s="177"/>
      <c r="B23" s="866"/>
      <c r="C23" s="858"/>
      <c r="J23" s="871"/>
      <c r="K23" s="861"/>
    </row>
    <row r="24" spans="1:12" x14ac:dyDescent="0.25">
      <c r="A24" s="614" t="s">
        <v>432</v>
      </c>
      <c r="B24" s="867"/>
      <c r="C24" s="859"/>
      <c r="J24" s="871"/>
      <c r="K24" s="861"/>
    </row>
    <row r="25" spans="1:12" x14ac:dyDescent="0.25">
      <c r="A25" s="491" t="s">
        <v>402</v>
      </c>
      <c r="B25" s="865">
        <f>13126*1.22*12/365</f>
        <v>526.47846575342464</v>
      </c>
      <c r="C25" s="855">
        <f>+B25/'Ghana-CostDriverInput'!V$6</f>
        <v>150.42241878669276</v>
      </c>
      <c r="D25" s="822">
        <f>+'Ghana-CostDriverInput'!J24</f>
        <v>2</v>
      </c>
      <c r="H25" s="822">
        <f t="shared" ref="H25:H32" si="1">+SUM(D25:G25)</f>
        <v>2</v>
      </c>
      <c r="J25" s="871"/>
      <c r="K25" s="861"/>
      <c r="L25" s="639">
        <f t="shared" ref="L25:L32" si="2">+C25*365</f>
        <v>54904.182857142856</v>
      </c>
    </row>
    <row r="26" spans="1:12" x14ac:dyDescent="0.25">
      <c r="A26" s="491" t="s">
        <v>403</v>
      </c>
      <c r="B26" s="865">
        <f>96025*1.22/365</f>
        <v>320.96027397260275</v>
      </c>
      <c r="C26" s="855">
        <f>+B26/'Ghana-CostDriverInput'!V$6</f>
        <v>91.702935420743643</v>
      </c>
      <c r="D26" s="822">
        <f>+'Ghana-CostDriverInput'!J36+'Ghana-CostDriverInput'!J73+'Ghana-CostDriverInput'!J115+'Ghana-CostDriverInput'!J132</f>
        <v>13</v>
      </c>
      <c r="H26" s="822">
        <f t="shared" si="1"/>
        <v>13</v>
      </c>
      <c r="J26" s="871"/>
      <c r="K26" s="861"/>
      <c r="L26" s="639">
        <f t="shared" si="2"/>
        <v>33471.571428571428</v>
      </c>
    </row>
    <row r="27" spans="1:12" x14ac:dyDescent="0.25">
      <c r="A27" s="491" t="s">
        <v>404</v>
      </c>
      <c r="B27" s="868">
        <f>(5649*12)/365*1.22</f>
        <v>226.57906849315069</v>
      </c>
      <c r="C27" s="855">
        <f>+B27/'Ghana-CostDriverInput'!V$6</f>
        <v>64.736876712328765</v>
      </c>
      <c r="D27" s="822">
        <f>+'Ghana-CostDriverInput'!J250+'Ghana-CostDriverInput'!J245+'Ghana-CostDriverInput'!J239+'Ghana-CostDriverInput'!J114+'Ghana-CostDriverInput'!J126</f>
        <v>17</v>
      </c>
      <c r="H27" s="822">
        <f t="shared" si="1"/>
        <v>17</v>
      </c>
      <c r="J27" s="871"/>
      <c r="K27" s="861"/>
      <c r="L27" s="639">
        <f t="shared" si="2"/>
        <v>23628.959999999999</v>
      </c>
    </row>
    <row r="28" spans="1:12" x14ac:dyDescent="0.25">
      <c r="A28" s="491" t="s">
        <v>405</v>
      </c>
      <c r="B28" s="865">
        <f>(6209*12)/365*1.22</f>
        <v>249.04043835616437</v>
      </c>
      <c r="C28" s="855">
        <f>+B28/'Ghana-CostDriverInput'!V$6</f>
        <v>71.154410958904108</v>
      </c>
      <c r="D28" s="822">
        <f>+'Ghana-CostDriverInput'!J127</f>
        <v>6</v>
      </c>
      <c r="H28" s="822">
        <f t="shared" si="1"/>
        <v>6</v>
      </c>
      <c r="J28" s="871"/>
      <c r="K28" s="861"/>
      <c r="L28" s="639">
        <f t="shared" si="2"/>
        <v>25971.360000000001</v>
      </c>
    </row>
    <row r="29" spans="1:12" s="179" customFormat="1" x14ac:dyDescent="0.25">
      <c r="A29" s="595" t="s">
        <v>413</v>
      </c>
      <c r="B29" s="865">
        <v>222</v>
      </c>
      <c r="C29" s="855">
        <f>+B29/'Ghana-CostDriverInput'!V$6</f>
        <v>63.428571428571431</v>
      </c>
      <c r="F29" s="822">
        <f>+'Ghana-CostDriverInput'!J502+'Ghana-CostDriverInput'!J513+'Ghana-CostDriverInput'!J522+'Ghana-CostDriverInput'!J534</f>
        <v>89</v>
      </c>
      <c r="H29" s="822">
        <f t="shared" si="1"/>
        <v>89</v>
      </c>
      <c r="I29" s="822">
        <v>365</v>
      </c>
      <c r="J29" s="871"/>
      <c r="K29" s="861"/>
      <c r="L29" s="639">
        <f t="shared" si="2"/>
        <v>23151.428571428572</v>
      </c>
    </row>
    <row r="30" spans="1:12" x14ac:dyDescent="0.25">
      <c r="A30" s="491" t="s">
        <v>406</v>
      </c>
      <c r="B30" s="868">
        <f>5535.74*12/365*1.22</f>
        <v>222.03625643835619</v>
      </c>
      <c r="C30" s="855">
        <f>+B30/'Ghana-CostDriverInput'!V$6</f>
        <v>63.43893041095891</v>
      </c>
      <c r="D30" s="822">
        <f>+'Ghana-CostDriverInput'!J246</f>
        <v>2</v>
      </c>
      <c r="H30" s="822">
        <f t="shared" si="1"/>
        <v>2</v>
      </c>
      <c r="J30" s="871"/>
      <c r="K30" s="861"/>
      <c r="L30" s="639">
        <f t="shared" si="2"/>
        <v>23155.209600000002</v>
      </c>
    </row>
    <row r="31" spans="1:12" s="126" customFormat="1" x14ac:dyDescent="0.25">
      <c r="A31" s="491" t="s">
        <v>105</v>
      </c>
      <c r="B31" s="865">
        <v>31</v>
      </c>
      <c r="C31" s="855">
        <f>+B31/'Ghana-CostDriverInput'!V$6</f>
        <v>8.8571428571428577</v>
      </c>
      <c r="H31" s="959">
        <f t="shared" si="1"/>
        <v>0</v>
      </c>
      <c r="J31" s="960"/>
      <c r="K31" s="961"/>
      <c r="L31" s="639">
        <f t="shared" si="2"/>
        <v>3232.8571428571431</v>
      </c>
    </row>
    <row r="32" spans="1:12" s="126" customFormat="1" x14ac:dyDescent="0.25">
      <c r="A32" s="491" t="s">
        <v>80</v>
      </c>
      <c r="B32" s="865">
        <v>30</v>
      </c>
      <c r="C32" s="855">
        <f>+B32/'Ghana-CostDriverInput'!V$6</f>
        <v>8.5714285714285712</v>
      </c>
      <c r="H32" s="959">
        <f t="shared" si="1"/>
        <v>0</v>
      </c>
      <c r="J32" s="960"/>
      <c r="K32" s="961"/>
      <c r="L32" s="639">
        <f t="shared" si="2"/>
        <v>3128.5714285714284</v>
      </c>
    </row>
    <row r="33" spans="1:11" s="179" customFormat="1" x14ac:dyDescent="0.25">
      <c r="A33" s="491"/>
      <c r="B33" s="868"/>
      <c r="C33" s="855"/>
      <c r="J33" s="871"/>
      <c r="K33" s="861"/>
    </row>
    <row r="34" spans="1:11" x14ac:dyDescent="0.25">
      <c r="A34" s="177"/>
      <c r="B34" s="866"/>
      <c r="C34" s="858"/>
      <c r="J34" s="871"/>
      <c r="K34" s="861"/>
    </row>
    <row r="35" spans="1:11" x14ac:dyDescent="0.25">
      <c r="A35" s="614" t="s">
        <v>429</v>
      </c>
      <c r="B35" s="867"/>
      <c r="C35" s="859"/>
      <c r="J35" s="871"/>
      <c r="K35" s="861"/>
    </row>
    <row r="36" spans="1:11" x14ac:dyDescent="0.25">
      <c r="A36" s="491" t="s">
        <v>411</v>
      </c>
      <c r="B36" s="869">
        <f>+(40000*3.5)/365</f>
        <v>383.56164383561645</v>
      </c>
      <c r="C36" s="855">
        <f>+B36/'Ghana-CostDriverInput'!V$6</f>
        <v>109.58904109589041</v>
      </c>
      <c r="J36" s="871"/>
      <c r="K36" s="861"/>
    </row>
    <row r="37" spans="1:11" x14ac:dyDescent="0.25">
      <c r="A37" s="491" t="s">
        <v>412</v>
      </c>
      <c r="B37" s="869">
        <f>+(40000*3.5)/365</f>
        <v>383.56164383561645</v>
      </c>
      <c r="C37" s="855">
        <f>+B37/'Ghana-CostDriverInput'!V$6</f>
        <v>109.58904109589041</v>
      </c>
      <c r="J37" s="871"/>
      <c r="K37" s="861"/>
    </row>
    <row r="38" spans="1:11" x14ac:dyDescent="0.25">
      <c r="A38" s="491" t="s">
        <v>238</v>
      </c>
      <c r="B38" s="869">
        <f>+(40000*3.5)/365</f>
        <v>383.56164383561645</v>
      </c>
      <c r="C38" s="855">
        <f>+B38/'Ghana-CostDriverInput'!V$6</f>
        <v>109.58904109589041</v>
      </c>
      <c r="J38" s="871"/>
      <c r="K38" s="861"/>
    </row>
    <row r="39" spans="1:11" x14ac:dyDescent="0.25">
      <c r="A39" s="491" t="s">
        <v>239</v>
      </c>
      <c r="B39" s="869">
        <f>+(25000*3.5)/365</f>
        <v>239.72602739726028</v>
      </c>
      <c r="C39" s="855">
        <f>+B39/'Ghana-CostDriverInput'!V$6</f>
        <v>68.493150684931507</v>
      </c>
      <c r="J39" s="871"/>
      <c r="K39" s="861"/>
    </row>
    <row r="40" spans="1:11" x14ac:dyDescent="0.25">
      <c r="A40" s="491" t="s">
        <v>105</v>
      </c>
      <c r="B40" s="869">
        <f>+(16500*3.5)/365</f>
        <v>158.21917808219177</v>
      </c>
      <c r="C40" s="855">
        <f>+B40/'Ghana-CostDriverInput'!V$6</f>
        <v>45.205479452054796</v>
      </c>
      <c r="J40" s="871"/>
      <c r="K40" s="861"/>
    </row>
    <row r="41" spans="1:11" x14ac:dyDescent="0.25">
      <c r="A41" s="177"/>
      <c r="B41" s="866"/>
      <c r="C41" s="858"/>
      <c r="J41" s="871"/>
      <c r="K41" s="861"/>
    </row>
    <row r="42" spans="1:11" x14ac:dyDescent="0.25">
      <c r="A42" s="518" t="s">
        <v>430</v>
      </c>
      <c r="B42" s="864"/>
      <c r="C42" s="857"/>
      <c r="J42" s="871"/>
      <c r="K42" s="861"/>
    </row>
    <row r="43" spans="1:11" x14ac:dyDescent="0.25">
      <c r="A43" s="179" t="s">
        <v>244</v>
      </c>
      <c r="B43" s="870">
        <f>+C43*'Ghana-CostDriverInput'!V$6</f>
        <v>1582.1917808219177</v>
      </c>
      <c r="C43" s="860">
        <f>165000/365</f>
        <v>452.05479452054794</v>
      </c>
      <c r="J43" s="871"/>
      <c r="K43" s="861"/>
    </row>
    <row r="44" spans="1:11" x14ac:dyDescent="0.25">
      <c r="A44" s="179" t="s">
        <v>243</v>
      </c>
      <c r="B44" s="870">
        <f>+C44*'Ghana-CostDriverInput'!V$6</f>
        <v>1179.4520547945203</v>
      </c>
      <c r="C44" s="860">
        <f>123000/365</f>
        <v>336.98630136986299</v>
      </c>
      <c r="J44" s="871"/>
      <c r="K44" s="861"/>
    </row>
    <row r="45" spans="1:11" x14ac:dyDescent="0.25">
      <c r="A45" s="179" t="s">
        <v>242</v>
      </c>
      <c r="B45" s="870">
        <f>+C45*'Ghana-CostDriverInput'!V$6</f>
        <v>1582.1917808219177</v>
      </c>
      <c r="C45" s="860">
        <f>165000/365</f>
        <v>452.05479452054794</v>
      </c>
      <c r="J45" s="871"/>
      <c r="K45" s="861"/>
    </row>
    <row r="46" spans="1:11" x14ac:dyDescent="0.25">
      <c r="B46" s="871"/>
      <c r="C46" s="861"/>
      <c r="J46" s="871"/>
      <c r="K46" s="861"/>
    </row>
    <row r="47" spans="1:11" x14ac:dyDescent="0.25">
      <c r="A47" t="s">
        <v>437</v>
      </c>
      <c r="B47" s="871" t="s">
        <v>433</v>
      </c>
      <c r="C47" s="861"/>
      <c r="J47" s="871"/>
      <c r="K47" s="861"/>
    </row>
    <row r="48" spans="1:11" x14ac:dyDescent="0.25">
      <c r="A48" t="s">
        <v>435</v>
      </c>
      <c r="B48" s="872">
        <v>850</v>
      </c>
      <c r="C48" s="855">
        <f>+B48/'Ghana-CostDriverInput'!V$6</f>
        <v>242.85714285714286</v>
      </c>
      <c r="J48" s="871"/>
      <c r="K48" s="861"/>
    </row>
    <row r="49" spans="1:11" x14ac:dyDescent="0.25">
      <c r="A49" t="s">
        <v>436</v>
      </c>
      <c r="B49" s="872">
        <v>500</v>
      </c>
      <c r="C49" s="855">
        <f>+B49/'Ghana-CostDriverInput'!V$6</f>
        <v>142.85714285714286</v>
      </c>
      <c r="J49" s="871"/>
      <c r="K49" s="861"/>
    </row>
    <row r="50" spans="1:11" x14ac:dyDescent="0.25">
      <c r="A50" t="s">
        <v>434</v>
      </c>
      <c r="B50" s="872">
        <v>75</v>
      </c>
      <c r="C50" s="855">
        <f>+B50/'Ghana-CostDriverInput'!V$6</f>
        <v>21.428571428571427</v>
      </c>
      <c r="J50" s="871"/>
      <c r="K50" s="861"/>
    </row>
    <row r="51" spans="1:11" x14ac:dyDescent="0.25">
      <c r="A51" t="s">
        <v>438</v>
      </c>
      <c r="B51" s="872">
        <v>350</v>
      </c>
      <c r="C51" s="855">
        <f>+B51/'Ghana-CostDriverInput'!V$6</f>
        <v>100</v>
      </c>
      <c r="J51" s="871"/>
      <c r="K51" s="861"/>
    </row>
    <row r="52" spans="1:11" x14ac:dyDescent="0.25">
      <c r="B52" s="871"/>
      <c r="C52" s="861"/>
      <c r="J52" s="871"/>
      <c r="K52" s="861"/>
    </row>
    <row r="53" spans="1:11" s="179" customFormat="1" x14ac:dyDescent="0.25">
      <c r="A53" s="518" t="s">
        <v>541</v>
      </c>
      <c r="B53" s="864"/>
      <c r="C53" s="857"/>
      <c r="J53" s="871"/>
      <c r="K53" s="861"/>
    </row>
    <row r="54" spans="1:11" x14ac:dyDescent="0.25">
      <c r="A54" t="s">
        <v>462</v>
      </c>
      <c r="B54" s="872">
        <v>30</v>
      </c>
      <c r="C54" s="855">
        <f>+B54/'Ghana-CostDriverInput'!V$6</f>
        <v>8.5714285714285712</v>
      </c>
      <c r="J54" s="871"/>
      <c r="K54" s="861"/>
    </row>
    <row r="55" spans="1:11" x14ac:dyDescent="0.25">
      <c r="A55" t="s">
        <v>461</v>
      </c>
      <c r="B55" s="872">
        <v>30</v>
      </c>
      <c r="C55" s="855">
        <f>+B55/'Ghana-CostDriverInput'!V$6</f>
        <v>8.5714285714285712</v>
      </c>
      <c r="J55" s="874"/>
      <c r="K55" s="87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Ghana-CostDriverInput</vt:lpstr>
      <vt:lpstr>AMF Budget Summary  Non Nets</vt:lpstr>
      <vt:lpstr>Timeline</vt:lpstr>
      <vt:lpstr>Staff Detail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2016-11-16T19:32:01Z</dcterms:created>
  <dcterms:modified xsi:type="dcterms:W3CDTF">2016-11-16T19:33:55Z</dcterms:modified>
</cp:coreProperties>
</file>